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9035" windowHeight="8625" activeTab="0"/>
  </bookViews>
  <sheets>
    <sheet name="Info" sheetId="1" r:id="rId1"/>
    <sheet name="ESS" sheetId="2" r:id="rId2"/>
    <sheet name="ENA" sheetId="3" r:id="rId3"/>
    <sheet name="EMA" sheetId="4" r:id="rId4"/>
    <sheet name="EMS" sheetId="5" r:id="rId5"/>
    <sheet name="EGS" sheetId="6" r:id="rId6"/>
    <sheet name="EFS" sheetId="7" r:id="rId7"/>
  </sheets>
  <definedNames>
    <definedName name="_xlnm.Print_Area" localSheetId="2">'ENA'!$A$1:$L$32</definedName>
    <definedName name="_xlnm.Print_Area" localSheetId="1">'ESS'!$A$1:$L$32</definedName>
    <definedName name="_xlnm.Print_Area" localSheetId="0">'Info'!$B$1:$G$14</definedName>
  </definedNames>
  <calcPr fullCalcOnLoad="1"/>
</workbook>
</file>

<file path=xl/sharedStrings.xml><?xml version="1.0" encoding="utf-8"?>
<sst xmlns="http://schemas.openxmlformats.org/spreadsheetml/2006/main" count="304" uniqueCount="78">
  <si>
    <t>A1</t>
  </si>
  <si>
    <t>A2</t>
  </si>
  <si>
    <t>A3</t>
  </si>
  <si>
    <t>A4</t>
  </si>
  <si>
    <t>B5</t>
  </si>
  <si>
    <t>B11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</si>
  <si>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</si>
  <si>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</si>
  <si>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</si>
  <si>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</si>
  <si>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</si>
  <si>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</si>
  <si>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</si>
  <si>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</si>
  <si>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</si>
  <si>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</si>
  <si>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X</t>
  </si>
  <si>
    <t xml:space="preserve">
</t>
  </si>
  <si>
    <t>на 1-н рік</t>
  </si>
  <si>
    <t>на 2-а роки</t>
  </si>
  <si>
    <t>на 3-и роки</t>
  </si>
  <si>
    <t>Будь які приватні та громадські заклади які займаються освітньою діяльність. Рішення про приналежність не ВУЗів до пільгової категорії приймається в індивідуально.</t>
  </si>
  <si>
    <t xml:space="preserve">
</t>
  </si>
  <si>
    <t xml:space="preserve">
</t>
  </si>
  <si>
    <t>ESS</t>
  </si>
  <si>
    <t>ENA</t>
  </si>
  <si>
    <t>EMS</t>
  </si>
  <si>
    <t>EGS</t>
  </si>
  <si>
    <t>EFS</t>
  </si>
  <si>
    <t>Електронна поставка.</t>
  </si>
  <si>
    <t>перше придбання</t>
  </si>
  <si>
    <t>поновлення</t>
  </si>
  <si>
    <t>міграція з конкуруючого ПЗ</t>
  </si>
  <si>
    <t>Кількість ПК:</t>
  </si>
  <si>
    <t>КОМЕРЦІЙНІ КОМПАНІЇ</t>
  </si>
  <si>
    <r>
      <t xml:space="preserve">ПІЛЬГОВІ ОРГАНІЗАЦІЇ (міні-бізнес):
</t>
    </r>
    <r>
      <rPr>
        <b/>
        <sz val="11"/>
        <color indexed="10"/>
        <rFont val="Calibri"/>
        <family val="2"/>
      </rPr>
      <t>! знижки за поновлення непередбачено !</t>
    </r>
  </si>
  <si>
    <t>Інтервал</t>
  </si>
  <si>
    <t>ДЕРЖАВНІ СТРУКТУРИ:</t>
  </si>
  <si>
    <t>ОСВІТНІ УСТАНОВИ:</t>
  </si>
  <si>
    <t>НЕПРИБУТКОВІ ОРГАНІЗАЦІЇ:</t>
  </si>
  <si>
    <r>
      <t xml:space="preserve">травень'09
</t>
    </r>
    <r>
      <rPr>
        <b/>
        <sz val="20"/>
        <color indexed="21"/>
        <rFont val="Calibri"/>
        <family val="2"/>
      </rPr>
      <t>ПРАЙС-ЛИСТ</t>
    </r>
    <r>
      <rPr>
        <b/>
        <sz val="8"/>
        <color indexed="21"/>
        <rFont val="Calibri"/>
        <family val="2"/>
      </rPr>
      <t xml:space="preserve">
</t>
    </r>
    <r>
      <rPr>
        <b/>
        <sz val="6"/>
        <color indexed="21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в цінах для кінцевого корис-
тувача в гривнях з ПДВ</t>
    </r>
  </si>
  <si>
    <t>ДО ПІЛЬГОВИХ ОРГАНІЗАЦІЙ НАЛЕЖАТЬ:</t>
  </si>
  <si>
    <t>Місцеві та державні органи влади, державні підприємства та підприємства, заробітну плату службовцям яких частково чи повністю сплачує держава.</t>
  </si>
  <si>
    <t>Організації, метою створення яких не є отримання прибутку та розподілення його між працівниками або керівництвом такої організації. До них відносяться: церкви, громадські школи, благодійні організації, громадські клініки та лікарні, політичні організації, юридичні консультації,  добровільні організації, профспілки, музеї та інші.</t>
  </si>
  <si>
    <r>
      <t>Домашня</t>
    </r>
    <r>
      <rPr>
        <b/>
        <sz val="10"/>
        <color indexed="21"/>
        <rFont val="Calibri"/>
        <family val="2"/>
      </rPr>
      <t xml:space="preserve"> (міні-бізнес) </t>
    </r>
    <r>
      <rPr>
        <b/>
        <sz val="13"/>
        <color indexed="21"/>
        <rFont val="Calibri"/>
        <family val="2"/>
      </rPr>
      <t>версія:</t>
    </r>
    <r>
      <rPr>
        <b/>
        <sz val="14"/>
        <color indexed="21"/>
        <rFont val="Calibri"/>
        <family val="2"/>
      </rPr>
      <t xml:space="preserve">
</t>
    </r>
    <r>
      <rPr>
        <sz val="11"/>
        <color indexed="10"/>
        <rFont val="Calibri"/>
        <family val="2"/>
      </rPr>
      <t>тільки для робочих станцій,
без "дзеркала" та
віддаленого керування</t>
    </r>
  </si>
  <si>
    <r>
      <t>Бізнес версія:</t>
    </r>
    <r>
      <rPr>
        <b/>
        <sz val="14"/>
        <color indexed="21"/>
        <rFont val="Calibri"/>
        <family val="2"/>
      </rPr>
      <t xml:space="preserve">
</t>
    </r>
    <r>
      <rPr>
        <sz val="11"/>
        <color indexed="23"/>
        <rFont val="Calibri"/>
        <family val="2"/>
      </rPr>
      <t>захист робочих станцій та
серверів з "дзеркалом" та
віддаленим керуванням</t>
    </r>
  </si>
  <si>
    <r>
      <t>ESET</t>
    </r>
    <r>
      <rPr>
        <b/>
        <sz val="28"/>
        <rFont val="Calibri"/>
        <family val="2"/>
      </rPr>
      <t xml:space="preserve"> </t>
    </r>
    <r>
      <rPr>
        <b/>
        <sz val="28"/>
        <color indexed="51"/>
        <rFont val="Calibri"/>
        <family val="2"/>
      </rPr>
      <t>Smart Security</t>
    </r>
    <r>
      <rPr>
        <b/>
        <sz val="28"/>
        <rFont val="Calibri"/>
        <family val="2"/>
      </rPr>
      <t xml:space="preserve">
</t>
    </r>
    <r>
      <rPr>
        <b/>
        <sz val="11"/>
        <color indexed="21"/>
        <rFont val="Calibri"/>
        <family val="2"/>
      </rPr>
      <t>Home Edition</t>
    </r>
  </si>
  <si>
    <r>
      <t xml:space="preserve">ESET </t>
    </r>
    <r>
      <rPr>
        <b/>
        <sz val="26"/>
        <color indexed="42"/>
        <rFont val="Calibri"/>
        <family val="2"/>
      </rPr>
      <t>NOD32 Antivirus</t>
    </r>
    <r>
      <rPr>
        <b/>
        <sz val="26"/>
        <color indexed="9"/>
        <rFont val="Calibri"/>
        <family val="2"/>
      </rPr>
      <t xml:space="preserve">
</t>
    </r>
    <r>
      <rPr>
        <b/>
        <sz val="11"/>
        <color indexed="9"/>
        <rFont val="Calibri"/>
        <family val="2"/>
      </rPr>
      <t>Home Edition</t>
    </r>
  </si>
  <si>
    <t>Коробочні (DVD-бокс) версії</t>
  </si>
  <si>
    <r>
      <t xml:space="preserve">травень'09
</t>
    </r>
    <r>
      <rPr>
        <b/>
        <sz val="20"/>
        <color indexed="21"/>
        <rFont val="Calibri"/>
        <family val="2"/>
      </rPr>
      <t>ПРАЙС-ЛИСТ</t>
    </r>
    <r>
      <rPr>
        <b/>
        <sz val="6"/>
        <color indexed="21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в цінах для кінцевого користувача в гривнях з ПДВ</t>
    </r>
  </si>
  <si>
    <r>
      <t xml:space="preserve">травень'09
</t>
    </r>
    <r>
      <rPr>
        <b/>
        <sz val="20"/>
        <color indexed="9"/>
        <rFont val="Calibri"/>
        <family val="2"/>
      </rPr>
      <t>ПРАЙС-ЛИСТ</t>
    </r>
    <r>
      <rPr>
        <b/>
        <sz val="8"/>
        <color indexed="9"/>
        <rFont val="Calibri"/>
        <family val="2"/>
      </rPr>
      <t xml:space="preserve">
</t>
    </r>
    <r>
      <rPr>
        <b/>
        <sz val="6"/>
        <color indexed="21"/>
        <rFont val="Calibri"/>
        <family val="2"/>
      </rPr>
      <t xml:space="preserve">
</t>
    </r>
    <r>
      <rPr>
        <b/>
        <sz val="11"/>
        <color indexed="45"/>
        <rFont val="Calibri"/>
        <family val="2"/>
      </rPr>
      <t>в цінах для кінцевого корис-
тувача в гривнях з ПДВ</t>
    </r>
  </si>
  <si>
    <r>
      <t xml:space="preserve">ESET </t>
    </r>
    <r>
      <rPr>
        <b/>
        <sz val="16"/>
        <color indexed="51"/>
        <rFont val="Calibri"/>
        <family val="2"/>
      </rPr>
      <t>Mail Security for Linux/BSD/Solaris</t>
    </r>
    <r>
      <rPr>
        <b/>
        <sz val="16"/>
        <color indexed="21"/>
        <rFont val="Calibri"/>
        <family val="2"/>
      </rPr>
      <t xml:space="preserve">
ESET </t>
    </r>
    <r>
      <rPr>
        <b/>
        <sz val="16"/>
        <color indexed="40"/>
        <rFont val="Calibri"/>
        <family val="2"/>
      </rPr>
      <t>NOD32 Antivirus for Microsoft Exchange</t>
    </r>
    <r>
      <rPr>
        <b/>
        <sz val="16"/>
        <color indexed="21"/>
        <rFont val="Calibri"/>
        <family val="2"/>
      </rPr>
      <t xml:space="preserve">
ESET </t>
    </r>
    <r>
      <rPr>
        <b/>
        <sz val="16"/>
        <color indexed="40"/>
        <rFont val="Calibri"/>
        <family val="2"/>
      </rPr>
      <t>NOD32 Antivirus for IBM Lotus Domino</t>
    </r>
    <r>
      <rPr>
        <b/>
        <sz val="16"/>
        <color indexed="21"/>
        <rFont val="Calibri"/>
        <family val="2"/>
      </rPr>
      <t xml:space="preserve">
ESET </t>
    </r>
    <r>
      <rPr>
        <b/>
        <sz val="16"/>
        <color indexed="40"/>
        <rFont val="Calibri"/>
        <family val="2"/>
      </rPr>
      <t>NOD32 Antivirus for Kerio Mail Server</t>
    </r>
  </si>
  <si>
    <t>Кільк-ть скринь:</t>
  </si>
  <si>
    <t>перевірка трафіку на
поштових серверах.
Ліцензується по кількості
поштових скринь.</t>
  </si>
  <si>
    <r>
      <t xml:space="preserve">ПІЛЬГОВІ ОРГАНІЗАЦІЇ:
</t>
    </r>
    <r>
      <rPr>
        <b/>
        <sz val="11"/>
        <color indexed="10"/>
        <rFont val="Calibri"/>
        <family val="2"/>
      </rPr>
      <t>! знижки за поновлення непередбачено !</t>
    </r>
  </si>
  <si>
    <t>Кількість скриньок</t>
  </si>
  <si>
    <r>
      <t xml:space="preserve">ESET </t>
    </r>
    <r>
      <rPr>
        <b/>
        <sz val="19"/>
        <color indexed="51"/>
        <rFont val="Calibri"/>
        <family val="2"/>
      </rPr>
      <t>Gateway Security for Linux/BSD/Solaris</t>
    </r>
    <r>
      <rPr>
        <b/>
        <sz val="19"/>
        <color indexed="21"/>
        <rFont val="Calibri"/>
        <family val="2"/>
      </rPr>
      <t xml:space="preserve">
ESET </t>
    </r>
    <r>
      <rPr>
        <b/>
        <sz val="19"/>
        <color indexed="40"/>
        <rFont val="Calibri"/>
        <family val="2"/>
      </rPr>
      <t>NOD32 Antivirus
          for Kerio Winroute Firewall</t>
    </r>
  </si>
  <si>
    <t>перевірка трафіку на
шлюзових серверах.
Ліцензується по кількості
підключених комп'ютерів.</t>
  </si>
  <si>
    <t>Кількість комп'ютерів</t>
  </si>
  <si>
    <r>
      <t xml:space="preserve">Антивірусний захист серверів.
</t>
    </r>
    <r>
      <rPr>
        <sz val="13"/>
        <color indexed="10"/>
        <rFont val="Calibri"/>
        <family val="2"/>
      </rPr>
      <t>Фіксована ціна!</t>
    </r>
    <r>
      <rPr>
        <sz val="11"/>
        <color indexed="23"/>
        <rFont val="Calibri"/>
        <family val="2"/>
      </rPr>
      <t xml:space="preserve"> Не
передбачено знижки за
кількість серверів.</t>
    </r>
  </si>
  <si>
    <r>
      <t xml:space="preserve">Антивірусний захист мобіль-
них пристроїв. </t>
    </r>
    <r>
      <rPr>
        <sz val="13"/>
        <color indexed="10"/>
        <rFont val="Calibri"/>
        <family val="2"/>
      </rPr>
      <t xml:space="preserve">Фіксована ці-
на! </t>
    </r>
    <r>
      <rPr>
        <sz val="11"/>
        <color indexed="23"/>
        <rFont val="Calibri"/>
        <family val="2"/>
      </rPr>
      <t>Не передбачено знижки
за кількість пристроїв.</t>
    </r>
  </si>
  <si>
    <t>EMA</t>
  </si>
  <si>
    <r>
      <t xml:space="preserve">ESET </t>
    </r>
    <r>
      <rPr>
        <b/>
        <sz val="14"/>
        <color indexed="51"/>
        <rFont val="Calibri"/>
        <family val="2"/>
      </rPr>
      <t>Smart Security</t>
    </r>
    <r>
      <rPr>
        <sz val="14"/>
        <color indexed="21"/>
        <rFont val="Calibri"/>
        <family val="2"/>
      </rPr>
      <t xml:space="preserve">
</t>
    </r>
    <r>
      <rPr>
        <sz val="12"/>
        <color indexed="23"/>
        <rFont val="Calibri"/>
        <family val="2"/>
      </rPr>
      <t>Антивірус, брандмауер та анті-СПАМ для захисту робочих станцій та серверів</t>
    </r>
  </si>
  <si>
    <r>
      <t xml:space="preserve">ESET </t>
    </r>
    <r>
      <rPr>
        <b/>
        <sz val="14"/>
        <color indexed="42"/>
        <rFont val="Calibri"/>
        <family val="2"/>
      </rPr>
      <t>Mobile Antivirus</t>
    </r>
    <r>
      <rPr>
        <sz val="12"/>
        <color indexed="9"/>
        <rFont val="Calibri"/>
        <family val="2"/>
      </rPr>
      <t xml:space="preserve">
Антивірусний та анті-СПАМ захист мобільних пристроїв</t>
    </r>
  </si>
  <si>
    <r>
      <t xml:space="preserve">ESET </t>
    </r>
    <r>
      <rPr>
        <b/>
        <sz val="14"/>
        <color indexed="51"/>
        <rFont val="Calibri"/>
        <family val="2"/>
      </rPr>
      <t>Mail Security</t>
    </r>
    <r>
      <rPr>
        <sz val="12"/>
        <color indexed="21"/>
        <rFont val="Calibri"/>
        <family val="2"/>
      </rPr>
      <t xml:space="preserve">
</t>
    </r>
    <r>
      <rPr>
        <sz val="12"/>
        <color indexed="23"/>
        <rFont val="Calibri"/>
        <family val="2"/>
      </rPr>
      <t>Антивірусний та анті-СПАМ захист поштових серверів</t>
    </r>
  </si>
  <si>
    <r>
      <t xml:space="preserve">ESET </t>
    </r>
    <r>
      <rPr>
        <b/>
        <sz val="14"/>
        <color indexed="51"/>
        <rFont val="Calibri"/>
        <family val="2"/>
      </rPr>
      <t>Gateway Security</t>
    </r>
    <r>
      <rPr>
        <sz val="12"/>
        <color indexed="21"/>
        <rFont val="Calibri"/>
        <family val="2"/>
      </rPr>
      <t xml:space="preserve">
</t>
    </r>
    <r>
      <rPr>
        <sz val="12"/>
        <color indexed="23"/>
        <rFont val="Calibri"/>
        <family val="2"/>
      </rPr>
      <t>Антивірусна перевірка HTTP та FTP трафіку на "шлюзових" серверах</t>
    </r>
  </si>
  <si>
    <r>
      <t xml:space="preserve">ESET </t>
    </r>
    <r>
      <rPr>
        <b/>
        <sz val="14"/>
        <color indexed="51"/>
        <rFont val="Calibri"/>
        <family val="2"/>
      </rPr>
      <t>File Security</t>
    </r>
    <r>
      <rPr>
        <sz val="12"/>
        <color indexed="21"/>
        <rFont val="Calibri"/>
        <family val="2"/>
      </rPr>
      <t xml:space="preserve">
</t>
    </r>
    <r>
      <rPr>
        <sz val="12"/>
        <color indexed="23"/>
        <rFont val="Calibri"/>
        <family val="2"/>
      </rPr>
      <t>Антивірусний захист (монітор та сканер) для файлових серверів</t>
    </r>
  </si>
  <si>
    <r>
      <t xml:space="preserve">ESET </t>
    </r>
    <r>
      <rPr>
        <b/>
        <sz val="14"/>
        <color indexed="42"/>
        <rFont val="Calibri"/>
        <family val="2"/>
      </rPr>
      <t>NOD32 Antivirus</t>
    </r>
    <r>
      <rPr>
        <sz val="12"/>
        <color indexed="9"/>
        <rFont val="Calibri"/>
        <family val="2"/>
      </rPr>
      <t xml:space="preserve">
Антивірусний та анті-шпигунський захист робочих станцій та серверів</t>
    </r>
  </si>
  <si>
    <r>
      <t xml:space="preserve">ESET </t>
    </r>
    <r>
      <rPr>
        <b/>
        <sz val="16"/>
        <color indexed="51"/>
        <rFont val="Calibri"/>
        <family val="2"/>
      </rPr>
      <t>File Security for Linux/BSD/Solaris</t>
    </r>
    <r>
      <rPr>
        <b/>
        <sz val="16"/>
        <color indexed="21"/>
        <rFont val="Calibri"/>
        <family val="2"/>
      </rPr>
      <t xml:space="preserve">
ESET </t>
    </r>
    <r>
      <rPr>
        <b/>
        <sz val="16"/>
        <color indexed="40"/>
        <rFont val="Calibri"/>
        <family val="2"/>
      </rPr>
      <t>NOD32 Antivirus for Windows File Server</t>
    </r>
    <r>
      <rPr>
        <b/>
        <sz val="16"/>
        <color indexed="21"/>
        <rFont val="Calibri"/>
        <family val="2"/>
      </rPr>
      <t xml:space="preserve">
ESET </t>
    </r>
    <r>
      <rPr>
        <b/>
        <sz val="16"/>
        <color indexed="40"/>
        <rFont val="Calibri"/>
        <family val="2"/>
      </rPr>
      <t>NOD32 Antivirus for Novell Netware</t>
    </r>
    <r>
      <rPr>
        <b/>
        <sz val="16"/>
        <color indexed="21"/>
        <rFont val="Calibri"/>
        <family val="2"/>
      </rPr>
      <t xml:space="preserve">
ESET </t>
    </r>
    <r>
      <rPr>
        <b/>
        <sz val="16"/>
        <color indexed="40"/>
        <rFont val="Calibri"/>
        <family val="2"/>
      </rPr>
      <t>NOD32 Antivirus for DELL Network Attached Storage</t>
    </r>
  </si>
  <si>
    <t>Моб. пристроїв:</t>
  </si>
  <si>
    <t>Серверів:</t>
  </si>
  <si>
    <r>
      <t>ESET</t>
    </r>
    <r>
      <rPr>
        <b/>
        <sz val="32"/>
        <color indexed="21"/>
        <rFont val="Calibri"/>
        <family val="2"/>
      </rPr>
      <t xml:space="preserve"> </t>
    </r>
    <r>
      <rPr>
        <b/>
        <sz val="32"/>
        <color indexed="42"/>
        <rFont val="Calibri"/>
        <family val="2"/>
      </rPr>
      <t>NOD32 Antivirus</t>
    </r>
    <r>
      <rPr>
        <b/>
        <sz val="13"/>
        <color indexed="21"/>
        <rFont val="Calibri"/>
        <family val="2"/>
      </rPr>
      <t xml:space="preserve">
</t>
    </r>
    <r>
      <rPr>
        <b/>
        <sz val="13"/>
        <color indexed="9"/>
        <rFont val="Calibri"/>
        <family val="2"/>
      </rPr>
      <t>Home Edition</t>
    </r>
  </si>
  <si>
    <r>
      <t>ESET</t>
    </r>
    <r>
      <rPr>
        <b/>
        <sz val="32"/>
        <color indexed="21"/>
        <rFont val="Calibri"/>
        <family val="2"/>
      </rPr>
      <t xml:space="preserve"> </t>
    </r>
    <r>
      <rPr>
        <b/>
        <sz val="32"/>
        <color indexed="40"/>
        <rFont val="Calibri"/>
        <family val="2"/>
      </rPr>
      <t>NOD32 Antivirus</t>
    </r>
    <r>
      <rPr>
        <b/>
        <sz val="13"/>
        <rFont val="Calibri"/>
        <family val="2"/>
      </rPr>
      <t xml:space="preserve">
</t>
    </r>
    <r>
      <rPr>
        <b/>
        <sz val="13"/>
        <color indexed="9"/>
        <rFont val="Calibri"/>
        <family val="2"/>
      </rPr>
      <t>Business Edition</t>
    </r>
  </si>
  <si>
    <r>
      <t>ESET</t>
    </r>
    <r>
      <rPr>
        <b/>
        <sz val="32"/>
        <color indexed="21"/>
        <rFont val="Calibri"/>
        <family val="2"/>
      </rPr>
      <t xml:space="preserve"> </t>
    </r>
    <r>
      <rPr>
        <b/>
        <sz val="32"/>
        <color indexed="42"/>
        <rFont val="Calibri"/>
        <family val="2"/>
      </rPr>
      <t>Mobile Antivirus</t>
    </r>
    <r>
      <rPr>
        <b/>
        <sz val="13"/>
        <color indexed="42"/>
        <rFont val="Calibri"/>
        <family val="2"/>
      </rPr>
      <t xml:space="preserve">
</t>
    </r>
    <r>
      <rPr>
        <b/>
        <sz val="13"/>
        <color indexed="9"/>
        <rFont val="Calibri"/>
        <family val="2"/>
      </rPr>
      <t>Стандартне придбання</t>
    </r>
  </si>
  <si>
    <r>
      <t>ESET</t>
    </r>
    <r>
      <rPr>
        <b/>
        <sz val="32"/>
        <color indexed="21"/>
        <rFont val="Calibri"/>
        <family val="2"/>
      </rPr>
      <t xml:space="preserve"> </t>
    </r>
    <r>
      <rPr>
        <b/>
        <sz val="32"/>
        <color indexed="42"/>
        <rFont val="Calibri"/>
        <family val="2"/>
      </rPr>
      <t>Mobile Antivirus</t>
    </r>
    <r>
      <rPr>
        <b/>
        <sz val="13"/>
        <color indexed="42"/>
        <rFont val="Calibri"/>
        <family val="2"/>
      </rPr>
      <t xml:space="preserve">
</t>
    </r>
    <r>
      <rPr>
        <b/>
        <sz val="13"/>
        <color indexed="9"/>
        <rFont val="Calibri"/>
        <family val="2"/>
      </rPr>
      <t xml:space="preserve">Для користувачів ESET </t>
    </r>
    <r>
      <rPr>
        <b/>
        <sz val="13"/>
        <color indexed="40"/>
        <rFont val="Calibri"/>
        <family val="2"/>
      </rPr>
      <t>NOD32 Antivirus</t>
    </r>
    <r>
      <rPr>
        <b/>
        <sz val="13"/>
        <color indexed="9"/>
        <rFont val="Calibri"/>
        <family val="2"/>
      </rPr>
      <t xml:space="preserve"> Business Edition</t>
    </r>
  </si>
  <si>
    <r>
      <t>ESET</t>
    </r>
    <r>
      <rPr>
        <b/>
        <sz val="32"/>
        <color indexed="21"/>
        <rFont val="Calibri"/>
        <family val="2"/>
      </rPr>
      <t xml:space="preserve"> </t>
    </r>
    <r>
      <rPr>
        <b/>
        <sz val="32"/>
        <color indexed="42"/>
        <rFont val="Calibri"/>
        <family val="2"/>
      </rPr>
      <t>Mobile Antivirus</t>
    </r>
    <r>
      <rPr>
        <b/>
        <sz val="13"/>
        <color indexed="42"/>
        <rFont val="Calibri"/>
        <family val="2"/>
      </rPr>
      <t xml:space="preserve">
</t>
    </r>
    <r>
      <rPr>
        <b/>
        <sz val="13"/>
        <color indexed="9"/>
        <rFont val="Calibri"/>
        <family val="2"/>
      </rPr>
      <t xml:space="preserve">Для користувачів ESET </t>
    </r>
    <r>
      <rPr>
        <b/>
        <sz val="13"/>
        <color indexed="40"/>
        <rFont val="Calibri"/>
        <family val="2"/>
      </rPr>
      <t>Smart Security</t>
    </r>
    <r>
      <rPr>
        <b/>
        <sz val="13"/>
        <color indexed="9"/>
        <rFont val="Calibri"/>
        <family val="2"/>
      </rPr>
      <t xml:space="preserve"> Business Edition</t>
    </r>
  </si>
  <si>
    <r>
      <t>ESET</t>
    </r>
    <r>
      <rPr>
        <b/>
        <sz val="32"/>
        <rFont val="Calibri"/>
        <family val="2"/>
      </rPr>
      <t xml:space="preserve"> </t>
    </r>
    <r>
      <rPr>
        <b/>
        <sz val="32"/>
        <color indexed="51"/>
        <rFont val="Calibri"/>
        <family val="2"/>
      </rPr>
      <t>Smart Security</t>
    </r>
    <r>
      <rPr>
        <b/>
        <sz val="13"/>
        <rFont val="Calibri"/>
        <family val="2"/>
      </rPr>
      <t xml:space="preserve">
</t>
    </r>
    <r>
      <rPr>
        <b/>
        <sz val="13"/>
        <color indexed="21"/>
        <rFont val="Calibri"/>
        <family val="2"/>
      </rPr>
      <t>Home Edition</t>
    </r>
  </si>
  <si>
    <r>
      <t>ESET</t>
    </r>
    <r>
      <rPr>
        <b/>
        <sz val="32"/>
        <rFont val="Calibri"/>
        <family val="2"/>
      </rPr>
      <t xml:space="preserve"> </t>
    </r>
    <r>
      <rPr>
        <b/>
        <sz val="32"/>
        <color indexed="48"/>
        <rFont val="Calibri"/>
        <family val="2"/>
      </rPr>
      <t>Smart Security</t>
    </r>
    <r>
      <rPr>
        <b/>
        <sz val="13"/>
        <rFont val="Calibri"/>
        <family val="2"/>
      </rPr>
      <t xml:space="preserve">
</t>
    </r>
    <r>
      <rPr>
        <b/>
        <sz val="13"/>
        <color indexed="21"/>
        <rFont val="Calibri"/>
        <family val="2"/>
      </rPr>
      <t>Business Edition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</si>
</sst>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[$-FC19]d\ mmmm\ yyyy\ &quot;г.&quot;"/>
    <numFmt numFmtId="181" formatCode="[$-FC22]d\ mmmm\ yyyy&quot; р.&quot;;@"/>
    <numFmt numFmtId="182" formatCode="dd\.mm\.yyyy;@"/>
    <numFmt numFmtId="183" formatCode="0.0"/>
    <numFmt numFmtId="184" formatCode="#,##0.00&quot;р.&quot;"/>
    <numFmt numFmtId="185" formatCode="#,###,&quot;р.&quot;"/>
    <numFmt numFmtId="186" formatCode="#0,&quot;р.&quot;"/>
    <numFmt numFmtId="187" formatCode="#0__&quot;р.&quot;"/>
    <numFmt numFmtId="188" formatCode="#,##0.00\ [$грн.-422]"/>
  </numFmts>
  <fonts count="7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Calibri"/>
      <family val="2"/>
    </font>
    <font>
      <b/>
      <sz val="32"/>
      <color indexed="21"/>
      <name val="Calibri"/>
      <family val="2"/>
    </font>
    <font>
      <b/>
      <sz val="32"/>
      <name val="Calibri"/>
      <family val="2"/>
    </font>
    <font>
      <b/>
      <sz val="32"/>
      <color indexed="51"/>
      <name val="Calibri"/>
      <family val="2"/>
    </font>
    <font>
      <b/>
      <sz val="13"/>
      <color indexed="21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1"/>
      <name val="Calibri"/>
      <family val="2"/>
    </font>
    <font>
      <sz val="1"/>
      <color indexed="9"/>
      <name val="Calibri"/>
      <family val="2"/>
    </font>
    <font>
      <sz val="1"/>
      <name val="Calibri"/>
      <family val="2"/>
    </font>
    <font>
      <b/>
      <sz val="14"/>
      <color indexed="21"/>
      <name val="Calibri"/>
      <family val="2"/>
    </font>
    <font>
      <b/>
      <sz val="10"/>
      <color indexed="21"/>
      <name val="Calibri"/>
      <family val="2"/>
    </font>
    <font>
      <sz val="10"/>
      <name val="Calibri"/>
      <family val="2"/>
    </font>
    <font>
      <b/>
      <sz val="29"/>
      <color indexed="10"/>
      <name val="Calibri"/>
      <family val="2"/>
    </font>
    <font>
      <b/>
      <sz val="32"/>
      <color indexed="48"/>
      <name val="Calibri"/>
      <family val="2"/>
    </font>
    <font>
      <b/>
      <sz val="11"/>
      <color indexed="10"/>
      <name val="Calibri"/>
      <family val="2"/>
    </font>
    <font>
      <b/>
      <sz val="16"/>
      <color indexed="2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23"/>
      <name val="Calibri"/>
      <family val="2"/>
    </font>
    <font>
      <b/>
      <sz val="20"/>
      <color indexed="21"/>
      <name val="Calibri"/>
      <family val="2"/>
    </font>
    <font>
      <sz val="16"/>
      <name val="Calibri"/>
      <family val="2"/>
    </font>
    <font>
      <b/>
      <sz val="11"/>
      <color indexed="23"/>
      <name val="Calibri"/>
      <family val="2"/>
    </font>
    <font>
      <sz val="11"/>
      <name val="Calibri"/>
      <family val="2"/>
    </font>
    <font>
      <b/>
      <sz val="8"/>
      <color indexed="21"/>
      <name val="Calibri"/>
      <family val="2"/>
    </font>
    <font>
      <sz val="11"/>
      <color indexed="23"/>
      <name val="Calibri"/>
      <family val="2"/>
    </font>
    <font>
      <b/>
      <sz val="32"/>
      <color indexed="9"/>
      <name val="Calibri"/>
      <family val="2"/>
    </font>
    <font>
      <b/>
      <sz val="32"/>
      <color indexed="42"/>
      <name val="Calibri"/>
      <family val="2"/>
    </font>
    <font>
      <b/>
      <sz val="13"/>
      <color indexed="9"/>
      <name val="Calibri"/>
      <family val="2"/>
    </font>
    <font>
      <b/>
      <sz val="14"/>
      <color indexed="9"/>
      <name val="Calibri"/>
      <family val="2"/>
    </font>
    <font>
      <b/>
      <sz val="20"/>
      <color indexed="9"/>
      <name val="Calibri"/>
      <family val="2"/>
    </font>
    <font>
      <b/>
      <sz val="6"/>
      <color indexed="21"/>
      <name val="Calibri"/>
      <family val="2"/>
    </font>
    <font>
      <b/>
      <sz val="11"/>
      <color indexed="45"/>
      <name val="Calibri"/>
      <family val="2"/>
    </font>
    <font>
      <b/>
      <sz val="32"/>
      <color indexed="40"/>
      <name val="Calibri"/>
      <family val="2"/>
    </font>
    <font>
      <sz val="10"/>
      <color indexed="9"/>
      <name val="Calibri"/>
      <family val="2"/>
    </font>
    <font>
      <sz val="12"/>
      <color indexed="9"/>
      <name val="Calibri"/>
      <family val="2"/>
    </font>
    <font>
      <b/>
      <sz val="29"/>
      <color indexed="13"/>
      <name val="Calibri"/>
      <family val="2"/>
    </font>
    <font>
      <sz val="14"/>
      <name val="Calibri"/>
      <family val="2"/>
    </font>
    <font>
      <sz val="14"/>
      <color indexed="21"/>
      <name val="Calibri"/>
      <family val="2"/>
    </font>
    <font>
      <b/>
      <sz val="14"/>
      <color indexed="10"/>
      <name val="Calibri"/>
      <family val="2"/>
    </font>
    <font>
      <sz val="30"/>
      <color indexed="12"/>
      <name val="Calibri"/>
      <family val="2"/>
    </font>
    <font>
      <b/>
      <sz val="14"/>
      <color indexed="51"/>
      <name val="Calibri"/>
      <family val="2"/>
    </font>
    <font>
      <b/>
      <sz val="28"/>
      <color indexed="21"/>
      <name val="Calibri"/>
      <family val="2"/>
    </font>
    <font>
      <b/>
      <sz val="28"/>
      <name val="Calibri"/>
      <family val="2"/>
    </font>
    <font>
      <b/>
      <sz val="28"/>
      <color indexed="51"/>
      <name val="Calibri"/>
      <family val="2"/>
    </font>
    <font>
      <b/>
      <sz val="11"/>
      <color indexed="21"/>
      <name val="Calibri"/>
      <family val="2"/>
    </font>
    <font>
      <b/>
      <sz val="36"/>
      <color indexed="21"/>
      <name val="Calibri"/>
      <family val="2"/>
    </font>
    <font>
      <b/>
      <sz val="14"/>
      <color indexed="42"/>
      <name val="Calibri"/>
      <family val="2"/>
    </font>
    <font>
      <b/>
      <sz val="26"/>
      <color indexed="9"/>
      <name val="Calibri"/>
      <family val="2"/>
    </font>
    <font>
      <b/>
      <sz val="26"/>
      <color indexed="42"/>
      <name val="Calibri"/>
      <family val="2"/>
    </font>
    <font>
      <b/>
      <sz val="11"/>
      <color indexed="9"/>
      <name val="Calibri"/>
      <family val="2"/>
    </font>
    <font>
      <b/>
      <sz val="36"/>
      <color indexed="9"/>
      <name val="Calibri"/>
      <family val="2"/>
    </font>
    <font>
      <sz val="12"/>
      <color indexed="21"/>
      <name val="Calibri"/>
      <family val="2"/>
    </font>
    <font>
      <sz val="12"/>
      <color indexed="23"/>
      <name val="Calibri"/>
      <family val="2"/>
    </font>
    <font>
      <b/>
      <sz val="20"/>
      <color indexed="23"/>
      <name val="Calibri"/>
      <family val="2"/>
    </font>
    <font>
      <sz val="14"/>
      <color indexed="23"/>
      <name val="Calibri"/>
      <family val="2"/>
    </font>
    <font>
      <sz val="10"/>
      <color indexed="23"/>
      <name val="Calibri"/>
      <family val="2"/>
    </font>
    <font>
      <b/>
      <sz val="1"/>
      <color indexed="9"/>
      <name val="Calibri"/>
      <family val="2"/>
    </font>
    <font>
      <b/>
      <sz val="8"/>
      <color indexed="9"/>
      <name val="Calibri"/>
      <family val="2"/>
    </font>
    <font>
      <b/>
      <sz val="16"/>
      <color indexed="51"/>
      <name val="Calibri"/>
      <family val="2"/>
    </font>
    <font>
      <b/>
      <sz val="16"/>
      <color indexed="40"/>
      <name val="Calibri"/>
      <family val="2"/>
    </font>
    <font>
      <sz val="16"/>
      <color indexed="9"/>
      <name val="Calibri"/>
      <family val="2"/>
    </font>
    <font>
      <b/>
      <sz val="19"/>
      <color indexed="21"/>
      <name val="Calibri"/>
      <family val="2"/>
    </font>
    <font>
      <b/>
      <sz val="19"/>
      <color indexed="51"/>
      <name val="Calibri"/>
      <family val="2"/>
    </font>
    <font>
      <b/>
      <sz val="19"/>
      <color indexed="40"/>
      <name val="Calibri"/>
      <family val="2"/>
    </font>
    <font>
      <sz val="13"/>
      <color indexed="10"/>
      <name val="Calibri"/>
      <family val="2"/>
    </font>
    <font>
      <b/>
      <sz val="10"/>
      <color indexed="55"/>
      <name val="Calibri"/>
      <family val="2"/>
    </font>
    <font>
      <sz val="8"/>
      <color indexed="55"/>
      <name val="Calibri"/>
      <family val="2"/>
    </font>
    <font>
      <b/>
      <sz val="38"/>
      <color indexed="21"/>
      <name val="Calibri"/>
      <family val="2"/>
    </font>
    <font>
      <b/>
      <sz val="13"/>
      <color indexed="42"/>
      <name val="Calibri"/>
      <family val="2"/>
    </font>
    <font>
      <b/>
      <sz val="13"/>
      <color indexed="40"/>
      <name val="Calibri"/>
      <family val="2"/>
    </font>
    <font>
      <sz val="11"/>
      <color indexed="9"/>
      <name val="Calibri"/>
      <family val="2"/>
    </font>
    <font>
      <b/>
      <sz val="13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65">
    <border>
      <left/>
      <right/>
      <top/>
      <bottom/>
      <diagonal/>
    </border>
    <border>
      <left style="thin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double">
        <color indexed="21"/>
      </left>
      <right style="double">
        <color indexed="21"/>
      </right>
      <top style="double">
        <color indexed="21"/>
      </top>
      <bottom style="double">
        <color indexed="21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hair"/>
      <top style="hair">
        <color indexed="22"/>
      </top>
      <bottom style="hair">
        <color indexed="22"/>
      </bottom>
    </border>
    <border>
      <left style="hair"/>
      <right style="hair"/>
      <top style="hair">
        <color indexed="22"/>
      </top>
      <bottom style="hair">
        <color indexed="22"/>
      </bottom>
    </border>
    <border>
      <left style="hair"/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hair"/>
      <top style="thin">
        <color indexed="22"/>
      </top>
      <bottom style="hair">
        <color indexed="22"/>
      </bottom>
    </border>
    <border>
      <left style="hair"/>
      <right style="hair"/>
      <top style="thin">
        <color indexed="22"/>
      </top>
      <bottom style="hair">
        <color indexed="22"/>
      </bottom>
    </border>
    <border>
      <left style="hair"/>
      <right style="thin">
        <color indexed="22"/>
      </right>
      <top style="thin">
        <color indexed="22"/>
      </top>
      <bottom style="hair">
        <color indexed="22"/>
      </bottom>
    </border>
    <border>
      <left style="thin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22"/>
      </left>
      <right>
        <color indexed="63"/>
      </right>
      <top style="thin">
        <color indexed="9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2"/>
      </left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 style="hair"/>
      <right style="thin">
        <color indexed="22"/>
      </right>
      <top style="thin">
        <color indexed="55"/>
      </top>
      <bottom>
        <color indexed="63"/>
      </bottom>
    </border>
    <border>
      <left style="hair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22"/>
      </left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thin">
        <color indexed="22"/>
      </right>
      <top>
        <color indexed="63"/>
      </top>
      <bottom style="thin">
        <color indexed="55"/>
      </bottom>
    </border>
    <border>
      <left style="hair"/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medium">
        <color indexed="22"/>
      </top>
      <bottom style="hair">
        <color indexed="22"/>
      </bottom>
    </border>
    <border>
      <left style="hair">
        <color indexed="22"/>
      </left>
      <right style="thin">
        <color indexed="21"/>
      </right>
      <top style="medium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22"/>
      </bottom>
    </border>
    <border>
      <left style="thin">
        <color indexed="21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>
        <color indexed="21"/>
      </right>
      <top style="thin">
        <color indexed="22"/>
      </top>
      <bottom style="thin">
        <color indexed="22"/>
      </bottom>
    </border>
    <border>
      <left>
        <color indexed="63"/>
      </left>
      <right style="hair"/>
      <top style="thin">
        <color indexed="55"/>
      </top>
      <bottom>
        <color indexed="63"/>
      </bottom>
    </border>
    <border>
      <left style="thin">
        <color indexed="55"/>
      </left>
      <right style="hair"/>
      <top>
        <color indexed="63"/>
      </top>
      <bottom style="thin">
        <color indexed="55"/>
      </bottom>
    </border>
    <border>
      <left style="double">
        <color indexed="21"/>
      </left>
      <right style="hair"/>
      <top style="thin">
        <color indexed="55"/>
      </top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4" fontId="23" fillId="2" borderId="1" xfId="0" applyNumberFormat="1" applyFont="1" applyFill="1" applyBorder="1" applyAlignment="1" applyProtection="1">
      <alignment horizontal="center" vertical="center"/>
      <protection hidden="1"/>
    </xf>
    <xf numFmtId="4" fontId="23" fillId="2" borderId="2" xfId="0" applyNumberFormat="1" applyFont="1" applyFill="1" applyBorder="1" applyAlignment="1" applyProtection="1">
      <alignment horizontal="center" vertical="center"/>
      <protection hidden="1"/>
    </xf>
    <xf numFmtId="4" fontId="23" fillId="2" borderId="3" xfId="0" applyNumberFormat="1" applyFont="1" applyFill="1" applyBorder="1" applyAlignment="1" applyProtection="1">
      <alignment horizontal="center" vertical="center"/>
      <protection hidden="1"/>
    </xf>
    <xf numFmtId="0" fontId="24" fillId="3" borderId="4" xfId="0" applyFont="1" applyFill="1" applyBorder="1" applyAlignment="1" applyProtection="1">
      <alignment vertical="center"/>
      <protection locked="0"/>
    </xf>
    <xf numFmtId="4" fontId="23" fillId="4" borderId="1" xfId="0" applyNumberFormat="1" applyFont="1" applyFill="1" applyBorder="1" applyAlignment="1" applyProtection="1">
      <alignment horizontal="center" vertical="center"/>
      <protection hidden="1"/>
    </xf>
    <xf numFmtId="4" fontId="23" fillId="4" borderId="2" xfId="0" applyNumberFormat="1" applyFont="1" applyFill="1" applyBorder="1" applyAlignment="1" applyProtection="1">
      <alignment horizontal="center" vertical="center"/>
      <protection hidden="1"/>
    </xf>
    <xf numFmtId="4" fontId="23" fillId="4" borderId="3" xfId="0" applyNumberFormat="1" applyFont="1" applyFill="1" applyBorder="1" applyAlignment="1" applyProtection="1">
      <alignment horizontal="center" vertical="center"/>
      <protection hidden="1"/>
    </xf>
    <xf numFmtId="0" fontId="11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left" vertical="center" wrapText="1"/>
      <protection hidden="1"/>
    </xf>
    <xf numFmtId="0" fontId="14" fillId="4" borderId="5" xfId="0" applyFont="1" applyFill="1" applyBorder="1" applyAlignment="1" applyProtection="1">
      <alignment horizontal="left" vertical="center" wrapText="1"/>
      <protection hidden="1"/>
    </xf>
    <xf numFmtId="0" fontId="14" fillId="4" borderId="6" xfId="0" applyFont="1" applyFill="1" applyBorder="1" applyAlignment="1" applyProtection="1">
      <alignment horizontal="left" vertical="center" wrapText="1"/>
      <protection hidden="1"/>
    </xf>
    <xf numFmtId="0" fontId="14" fillId="4" borderId="7" xfId="0" applyFont="1" applyFill="1" applyBorder="1" applyAlignment="1" applyProtection="1">
      <alignment horizontal="left" vertical="center" wrapText="1"/>
      <protection hidden="1"/>
    </xf>
    <xf numFmtId="0" fontId="14" fillId="4" borderId="8" xfId="0" applyFont="1" applyFill="1" applyBorder="1" applyAlignment="1" applyProtection="1">
      <alignment horizontal="left" vertical="center" wrapText="1"/>
      <protection hidden="1"/>
    </xf>
    <xf numFmtId="4" fontId="23" fillId="4" borderId="9" xfId="0" applyNumberFormat="1" applyFont="1" applyFill="1" applyBorder="1" applyAlignment="1" applyProtection="1">
      <alignment horizontal="center" vertical="center"/>
      <protection hidden="1"/>
    </xf>
    <xf numFmtId="4" fontId="23" fillId="4" borderId="10" xfId="0" applyNumberFormat="1" applyFont="1" applyFill="1" applyBorder="1" applyAlignment="1" applyProtection="1">
      <alignment horizontal="center" vertical="center"/>
      <protection hidden="1"/>
    </xf>
    <xf numFmtId="4" fontId="23" fillId="4" borderId="11" xfId="0" applyNumberFormat="1" applyFont="1" applyFill="1" applyBorder="1" applyAlignment="1" applyProtection="1">
      <alignment horizontal="center" vertical="center"/>
      <protection hidden="1"/>
    </xf>
    <xf numFmtId="4" fontId="26" fillId="2" borderId="12" xfId="0" applyNumberFormat="1" applyFont="1" applyFill="1" applyBorder="1" applyAlignment="1" applyProtection="1">
      <alignment horizontal="center" vertical="center" wrapText="1"/>
      <protection hidden="1"/>
    </xf>
    <xf numFmtId="4" fontId="22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22" fillId="2" borderId="14" xfId="0" applyFont="1" applyFill="1" applyBorder="1" applyAlignment="1" applyProtection="1">
      <alignment vertical="center"/>
      <protection hidden="1"/>
    </xf>
    <xf numFmtId="0" fontId="26" fillId="2" borderId="15" xfId="0" applyFont="1" applyFill="1" applyBorder="1" applyAlignment="1" applyProtection="1">
      <alignment horizontal="right" vertical="top"/>
      <protection hidden="1"/>
    </xf>
    <xf numFmtId="0" fontId="26" fillId="2" borderId="16" xfId="0" applyFont="1" applyFill="1" applyBorder="1" applyAlignment="1" applyProtection="1">
      <alignment horizontal="right" vertical="top"/>
      <protection hidden="1"/>
    </xf>
    <xf numFmtId="0" fontId="26" fillId="2" borderId="17" xfId="0" applyFont="1" applyFill="1" applyBorder="1" applyAlignment="1" applyProtection="1">
      <alignment horizontal="right" vertical="top"/>
      <protection hidden="1"/>
    </xf>
    <xf numFmtId="0" fontId="29" fillId="4" borderId="8" xfId="0" applyFont="1" applyFill="1" applyBorder="1" applyAlignment="1" applyProtection="1">
      <alignment horizontal="left" vertical="top" wrapText="1"/>
      <protection hidden="1"/>
    </xf>
    <xf numFmtId="0" fontId="29" fillId="4" borderId="18" xfId="0" applyFont="1" applyFill="1" applyBorder="1" applyAlignment="1" applyProtection="1">
      <alignment horizontal="left" vertical="top" wrapText="1"/>
      <protection hidden="1"/>
    </xf>
    <xf numFmtId="0" fontId="29" fillId="4" borderId="19" xfId="0" applyFont="1" applyFill="1" applyBorder="1" applyAlignment="1" applyProtection="1">
      <alignment horizontal="left" vertical="top" wrapText="1"/>
      <protection hidden="1"/>
    </xf>
    <xf numFmtId="0" fontId="29" fillId="4" borderId="20" xfId="0" applyFont="1" applyFill="1" applyBorder="1" applyAlignment="1" applyProtection="1">
      <alignment horizontal="left" vertical="top" wrapText="1"/>
      <protection hidden="1"/>
    </xf>
    <xf numFmtId="0" fontId="8" fillId="4" borderId="21" xfId="0" applyFont="1" applyFill="1" applyBorder="1" applyAlignment="1" applyProtection="1">
      <alignment horizontal="left" vertical="center" wrapText="1"/>
      <protection hidden="1"/>
    </xf>
    <xf numFmtId="0" fontId="14" fillId="4" borderId="22" xfId="0" applyFont="1" applyFill="1" applyBorder="1" applyAlignment="1" applyProtection="1">
      <alignment horizontal="left" vertical="center" wrapText="1"/>
      <protection hidden="1"/>
    </xf>
    <xf numFmtId="0" fontId="14" fillId="4" borderId="23" xfId="0" applyFont="1" applyFill="1" applyBorder="1" applyAlignment="1" applyProtection="1">
      <alignment horizontal="left" vertical="center" wrapText="1"/>
      <protection hidden="1"/>
    </xf>
    <xf numFmtId="0" fontId="4" fillId="5" borderId="24" xfId="0" applyFont="1" applyFill="1" applyBorder="1" applyAlignment="1" applyProtection="1">
      <alignment horizontal="center" vertical="center"/>
      <protection hidden="1"/>
    </xf>
    <xf numFmtId="0" fontId="30" fillId="5" borderId="24" xfId="0" applyFont="1" applyFill="1" applyBorder="1" applyAlignment="1" applyProtection="1">
      <alignment horizontal="left" vertical="center" wrapText="1"/>
      <protection hidden="1"/>
    </xf>
    <xf numFmtId="4" fontId="20" fillId="5" borderId="24" xfId="0" applyNumberFormat="1" applyFont="1" applyFill="1" applyBorder="1" applyAlignment="1" applyProtection="1">
      <alignment vertical="top" wrapText="1"/>
      <protection hidden="1"/>
    </xf>
    <xf numFmtId="4" fontId="14" fillId="4" borderId="24" xfId="0" applyNumberFormat="1" applyFont="1" applyFill="1" applyBorder="1" applyAlignment="1" applyProtection="1">
      <alignment horizontal="center" vertical="top" wrapText="1"/>
      <protection hidden="1"/>
    </xf>
    <xf numFmtId="0" fontId="4" fillId="4" borderId="24" xfId="0" applyFont="1" applyFill="1" applyBorder="1" applyAlignment="1" applyProtection="1">
      <alignment horizontal="center" vertical="center"/>
      <protection hidden="1"/>
    </xf>
    <xf numFmtId="0" fontId="5" fillId="4" borderId="24" xfId="0" applyFont="1" applyFill="1" applyBorder="1" applyAlignment="1" applyProtection="1">
      <alignment vertical="center" wrapText="1"/>
      <protection hidden="1"/>
    </xf>
    <xf numFmtId="4" fontId="20" fillId="4" borderId="24" xfId="0" applyNumberFormat="1" applyFont="1" applyFill="1" applyBorder="1" applyAlignment="1" applyProtection="1">
      <alignment horizontal="center" vertical="top" wrapText="1"/>
      <protection hidden="1"/>
    </xf>
    <xf numFmtId="4" fontId="14" fillId="4" borderId="25" xfId="0" applyNumberFormat="1" applyFont="1" applyFill="1" applyBorder="1" applyAlignment="1" applyProtection="1">
      <alignment horizontal="right" vertical="center"/>
      <protection hidden="1"/>
    </xf>
    <xf numFmtId="4" fontId="14" fillId="4" borderId="26" xfId="0" applyNumberFormat="1" applyFont="1" applyFill="1" applyBorder="1" applyAlignment="1" applyProtection="1">
      <alignment horizontal="right" vertical="center"/>
      <protection hidden="1"/>
    </xf>
    <xf numFmtId="4" fontId="14" fillId="4" borderId="27" xfId="0" applyNumberFormat="1" applyFont="1" applyFill="1" applyBorder="1" applyAlignment="1" applyProtection="1">
      <alignment horizontal="right" vertical="center"/>
      <protection hidden="1"/>
    </xf>
    <xf numFmtId="4" fontId="14" fillId="2" borderId="25" xfId="0" applyNumberFormat="1" applyFont="1" applyFill="1" applyBorder="1" applyAlignment="1" applyProtection="1">
      <alignment horizontal="right" vertical="center"/>
      <protection hidden="1"/>
    </xf>
    <xf numFmtId="4" fontId="14" fillId="2" borderId="26" xfId="0" applyNumberFormat="1" applyFont="1" applyFill="1" applyBorder="1" applyAlignment="1" applyProtection="1">
      <alignment horizontal="right" vertical="center"/>
      <protection hidden="1"/>
    </xf>
    <xf numFmtId="4" fontId="14" fillId="2" borderId="28" xfId="0" applyNumberFormat="1" applyFont="1" applyFill="1" applyBorder="1" applyAlignment="1" applyProtection="1">
      <alignment horizontal="right" vertical="center"/>
      <protection hidden="1"/>
    </xf>
    <xf numFmtId="4" fontId="14" fillId="4" borderId="29" xfId="0" applyNumberFormat="1" applyFont="1" applyFill="1" applyBorder="1" applyAlignment="1" applyProtection="1">
      <alignment horizontal="right" vertical="center"/>
      <protection hidden="1"/>
    </xf>
    <xf numFmtId="4" fontId="14" fillId="4" borderId="30" xfId="0" applyNumberFormat="1" applyFont="1" applyFill="1" applyBorder="1" applyAlignment="1" applyProtection="1">
      <alignment horizontal="right" vertical="center"/>
      <protection hidden="1"/>
    </xf>
    <xf numFmtId="4" fontId="14" fillId="4" borderId="31" xfId="0" applyNumberFormat="1" applyFont="1" applyFill="1" applyBorder="1" applyAlignment="1" applyProtection="1">
      <alignment horizontal="right" vertical="center"/>
      <protection hidden="1"/>
    </xf>
    <xf numFmtId="4" fontId="14" fillId="2" borderId="29" xfId="0" applyNumberFormat="1" applyFont="1" applyFill="1" applyBorder="1" applyAlignment="1" applyProtection="1">
      <alignment horizontal="right" vertical="center"/>
      <protection hidden="1"/>
    </xf>
    <xf numFmtId="4" fontId="14" fillId="2" borderId="30" xfId="0" applyNumberFormat="1" applyFont="1" applyFill="1" applyBorder="1" applyAlignment="1" applyProtection="1">
      <alignment horizontal="right" vertical="center"/>
      <protection hidden="1"/>
    </xf>
    <xf numFmtId="4" fontId="14" fillId="2" borderId="32" xfId="0" applyNumberFormat="1" applyFont="1" applyFill="1" applyBorder="1" applyAlignment="1" applyProtection="1">
      <alignment horizontal="right" vertical="center"/>
      <protection hidden="1"/>
    </xf>
    <xf numFmtId="0" fontId="41" fillId="4" borderId="0" xfId="0" applyFont="1" applyFill="1" applyAlignment="1" applyProtection="1">
      <alignment horizontal="center" wrapText="1"/>
      <protection hidden="1"/>
    </xf>
    <xf numFmtId="0" fontId="41" fillId="4" borderId="0" xfId="0" applyFont="1" applyFill="1" applyAlignment="1" applyProtection="1">
      <alignment wrapText="1"/>
      <protection hidden="1"/>
    </xf>
    <xf numFmtId="0" fontId="16" fillId="4" borderId="0" xfId="0" applyFont="1" applyFill="1" applyAlignment="1" applyProtection="1">
      <alignment/>
      <protection hidden="1"/>
    </xf>
    <xf numFmtId="0" fontId="43" fillId="4" borderId="0" xfId="0" applyFont="1" applyFill="1" applyBorder="1" applyAlignment="1" applyProtection="1">
      <alignment horizontal="center" wrapText="1"/>
      <protection hidden="1"/>
    </xf>
    <xf numFmtId="0" fontId="13" fillId="4" borderId="0" xfId="0" applyFont="1" applyFill="1" applyAlignment="1" applyProtection="1">
      <alignment/>
      <protection hidden="1"/>
    </xf>
    <xf numFmtId="0" fontId="13" fillId="4" borderId="0" xfId="0" applyFont="1" applyFill="1" applyBorder="1" applyAlignment="1" applyProtection="1">
      <alignment horizontal="center"/>
      <protection hidden="1"/>
    </xf>
    <xf numFmtId="0" fontId="46" fillId="4" borderId="0" xfId="0" applyFont="1" applyFill="1" applyBorder="1" applyAlignment="1" applyProtection="1">
      <alignment horizontal="left" vertical="center" wrapText="1"/>
      <protection hidden="1"/>
    </xf>
    <xf numFmtId="0" fontId="52" fillId="5" borderId="0" xfId="0" applyFont="1" applyFill="1" applyBorder="1" applyAlignment="1" applyProtection="1">
      <alignment horizontal="left" vertical="center" wrapText="1"/>
      <protection hidden="1"/>
    </xf>
    <xf numFmtId="0" fontId="13" fillId="4" borderId="0" xfId="0" applyFont="1" applyFill="1" applyAlignment="1" applyProtection="1">
      <alignment wrapText="1"/>
      <protection hidden="1"/>
    </xf>
    <xf numFmtId="0" fontId="14" fillId="4" borderId="33" xfId="15" applyFont="1" applyFill="1" applyBorder="1" applyAlignment="1" applyProtection="1">
      <alignment horizontal="left" vertical="center" wrapText="1"/>
      <protection hidden="1"/>
    </xf>
    <xf numFmtId="0" fontId="33" fillId="5" borderId="33" xfId="15" applyFont="1" applyFill="1" applyBorder="1" applyAlignment="1" applyProtection="1">
      <alignment horizontal="left" vertical="center" wrapText="1"/>
      <protection hidden="1"/>
    </xf>
    <xf numFmtId="0" fontId="58" fillId="4" borderId="0" xfId="0" applyFont="1" applyFill="1" applyAlignment="1" applyProtection="1">
      <alignment horizontal="center"/>
      <protection hidden="1"/>
    </xf>
    <xf numFmtId="0" fontId="59" fillId="4" borderId="0" xfId="0" applyFont="1" applyFill="1" applyAlignment="1" applyProtection="1">
      <alignment wrapText="1"/>
      <protection hidden="1"/>
    </xf>
    <xf numFmtId="0" fontId="60" fillId="4" borderId="0" xfId="0" applyFont="1" applyFill="1" applyAlignment="1" applyProtection="1">
      <alignment/>
      <protection hidden="1"/>
    </xf>
    <xf numFmtId="0" fontId="13" fillId="4" borderId="0" xfId="0" applyFont="1" applyFill="1" applyBorder="1" applyAlignment="1" applyProtection="1">
      <alignment/>
      <protection hidden="1"/>
    </xf>
    <xf numFmtId="0" fontId="13" fillId="4" borderId="34" xfId="0" applyFont="1" applyFill="1" applyBorder="1" applyAlignment="1" applyProtection="1">
      <alignment horizontal="center"/>
      <protection hidden="1"/>
    </xf>
    <xf numFmtId="0" fontId="46" fillId="4" borderId="35" xfId="0" applyFont="1" applyFill="1" applyBorder="1" applyAlignment="1" applyProtection="1">
      <alignment horizontal="left" vertical="center" wrapText="1"/>
      <protection hidden="1"/>
    </xf>
    <xf numFmtId="2" fontId="50" fillId="4" borderId="36" xfId="0" applyNumberFormat="1" applyFont="1" applyFill="1" applyBorder="1" applyAlignment="1" applyProtection="1">
      <alignment horizontal="right" vertical="center" wrapText="1"/>
      <protection hidden="1"/>
    </xf>
    <xf numFmtId="0" fontId="13" fillId="4" borderId="37" xfId="0" applyFont="1" applyFill="1" applyBorder="1" applyAlignment="1" applyProtection="1">
      <alignment horizontal="center"/>
      <protection hidden="1"/>
    </xf>
    <xf numFmtId="2" fontId="50" fillId="4" borderId="38" xfId="0" applyNumberFormat="1" applyFont="1" applyFill="1" applyBorder="1" applyAlignment="1" applyProtection="1">
      <alignment horizontal="right" vertical="center" wrapText="1"/>
      <protection hidden="1"/>
    </xf>
    <xf numFmtId="0" fontId="13" fillId="4" borderId="39" xfId="0" applyFont="1" applyFill="1" applyBorder="1" applyAlignment="1" applyProtection="1">
      <alignment horizontal="center"/>
      <protection hidden="1"/>
    </xf>
    <xf numFmtId="0" fontId="46" fillId="4" borderId="40" xfId="0" applyFont="1" applyFill="1" applyBorder="1" applyAlignment="1" applyProtection="1">
      <alignment horizontal="left" vertical="center" wrapText="1"/>
      <protection hidden="1"/>
    </xf>
    <xf numFmtId="2" fontId="50" fillId="4" borderId="41" xfId="0" applyNumberFormat="1" applyFont="1" applyFill="1" applyBorder="1" applyAlignment="1" applyProtection="1">
      <alignment horizontal="right" vertical="center" wrapText="1"/>
      <protection hidden="1"/>
    </xf>
    <xf numFmtId="0" fontId="52" fillId="5" borderId="35" xfId="0" applyFont="1" applyFill="1" applyBorder="1" applyAlignment="1" applyProtection="1">
      <alignment horizontal="left" vertical="center" wrapText="1"/>
      <protection hidden="1"/>
    </xf>
    <xf numFmtId="2" fontId="55" fillId="5" borderId="36" xfId="0" applyNumberFormat="1" applyFont="1" applyFill="1" applyBorder="1" applyAlignment="1" applyProtection="1">
      <alignment horizontal="right" vertical="center" wrapText="1"/>
      <protection hidden="1"/>
    </xf>
    <xf numFmtId="2" fontId="55" fillId="5" borderId="38" xfId="0" applyNumberFormat="1" applyFont="1" applyFill="1" applyBorder="1" applyAlignment="1" applyProtection="1">
      <alignment horizontal="right" vertical="center" wrapText="1"/>
      <protection hidden="1"/>
    </xf>
    <xf numFmtId="2" fontId="55" fillId="5" borderId="41" xfId="0" applyNumberFormat="1" applyFont="1" applyFill="1" applyBorder="1" applyAlignment="1" applyProtection="1">
      <alignment horizontal="right" vertical="center" wrapText="1"/>
      <protection hidden="1"/>
    </xf>
    <xf numFmtId="0" fontId="14" fillId="4" borderId="33" xfId="15" applyFont="1" applyFill="1" applyBorder="1" applyAlignment="1" applyProtection="1">
      <alignment vertical="center" wrapText="1"/>
      <protection hidden="1"/>
    </xf>
    <xf numFmtId="0" fontId="13" fillId="4" borderId="35" xfId="0" applyFont="1" applyFill="1" applyBorder="1" applyAlignment="1" applyProtection="1">
      <alignment horizontal="center"/>
      <protection hidden="1"/>
    </xf>
    <xf numFmtId="4" fontId="14" fillId="4" borderId="42" xfId="0" applyNumberFormat="1" applyFont="1" applyFill="1" applyBorder="1" applyAlignment="1" applyProtection="1">
      <alignment horizontal="center" vertical="top" wrapText="1"/>
      <protection hidden="1"/>
    </xf>
    <xf numFmtId="0" fontId="44" fillId="4" borderId="43" xfId="15" applyFont="1" applyFill="1" applyBorder="1" applyAlignment="1" applyProtection="1">
      <alignment horizontal="center" vertical="center"/>
      <protection hidden="1"/>
    </xf>
    <xf numFmtId="4" fontId="14" fillId="5" borderId="44" xfId="0" applyNumberFormat="1" applyFont="1" applyFill="1" applyBorder="1" applyAlignment="1" applyProtection="1">
      <alignment horizontal="center" vertical="top" wrapText="1"/>
      <protection hidden="1"/>
    </xf>
    <xf numFmtId="4" fontId="33" fillId="5" borderId="44" xfId="0" applyNumberFormat="1" applyFont="1" applyFill="1" applyBorder="1" applyAlignment="1" applyProtection="1">
      <alignment horizontal="center" vertical="top" wrapText="1"/>
      <protection hidden="1"/>
    </xf>
    <xf numFmtId="0" fontId="10" fillId="5" borderId="24" xfId="0" applyFont="1" applyFill="1" applyBorder="1" applyAlignment="1" applyProtection="1">
      <alignment horizontal="center" vertical="center"/>
      <protection hidden="1"/>
    </xf>
    <xf numFmtId="0" fontId="40" fillId="5" borderId="24" xfId="0" applyFont="1" applyFill="1" applyBorder="1" applyAlignment="1" applyProtection="1">
      <alignment horizontal="center" vertical="center" wrapText="1"/>
      <protection hidden="1"/>
    </xf>
    <xf numFmtId="4" fontId="33" fillId="5" borderId="24" xfId="0" applyNumberFormat="1" applyFont="1" applyFill="1" applyBorder="1" applyAlignment="1" applyProtection="1">
      <alignment horizontal="center" vertical="top" wrapText="1"/>
      <protection hidden="1"/>
    </xf>
    <xf numFmtId="4" fontId="14" fillId="5" borderId="24" xfId="0" applyNumberFormat="1" applyFont="1" applyFill="1" applyBorder="1" applyAlignment="1" applyProtection="1">
      <alignment horizontal="center" vertical="top" wrapText="1"/>
      <protection hidden="1"/>
    </xf>
    <xf numFmtId="0" fontId="11" fillId="4" borderId="35" xfId="0" applyFont="1" applyFill="1" applyBorder="1" applyAlignment="1" applyProtection="1">
      <alignment horizontal="center" vertical="center"/>
      <protection hidden="1"/>
    </xf>
    <xf numFmtId="0" fontId="5" fillId="4" borderId="24" xfId="0" applyFont="1" applyFill="1" applyBorder="1" applyAlignment="1" applyProtection="1">
      <alignment horizontal="left" vertical="center" wrapText="1"/>
      <protection hidden="1"/>
    </xf>
    <xf numFmtId="0" fontId="17" fillId="4" borderId="24" xfId="0" applyFont="1" applyFill="1" applyBorder="1" applyAlignment="1" applyProtection="1">
      <alignment horizontal="center" vertical="center" wrapText="1"/>
      <protection hidden="1"/>
    </xf>
    <xf numFmtId="0" fontId="20" fillId="4" borderId="24" xfId="0" applyFont="1" applyFill="1" applyBorder="1" applyAlignment="1" applyProtection="1">
      <alignment horizontal="left" vertical="center" wrapText="1"/>
      <protection hidden="1"/>
    </xf>
    <xf numFmtId="0" fontId="29" fillId="4" borderId="21" xfId="0" applyFont="1" applyFill="1" applyBorder="1" applyAlignment="1" applyProtection="1">
      <alignment horizontal="left" vertical="center" wrapText="1"/>
      <protection hidden="1"/>
    </xf>
    <xf numFmtId="0" fontId="66" fillId="4" borderId="24" xfId="0" applyFont="1" applyFill="1" applyBorder="1" applyAlignment="1" applyProtection="1">
      <alignment horizontal="left" vertical="center" wrapText="1"/>
      <protection hidden="1"/>
    </xf>
    <xf numFmtId="0" fontId="17" fillId="4" borderId="24" xfId="0" applyFont="1" applyFill="1" applyBorder="1" applyAlignment="1" applyProtection="1">
      <alignment vertical="center" wrapText="1"/>
      <protection hidden="1"/>
    </xf>
    <xf numFmtId="0" fontId="25" fillId="4" borderId="0" xfId="0" applyFont="1" applyFill="1" applyBorder="1" applyAlignment="1" applyProtection="1">
      <alignment vertical="center" wrapText="1"/>
      <protection hidden="1"/>
    </xf>
    <xf numFmtId="0" fontId="16" fillId="4" borderId="0" xfId="0" applyFont="1" applyFill="1" applyAlignment="1" applyProtection="1">
      <alignment horizontal="center"/>
      <protection hidden="1"/>
    </xf>
    <xf numFmtId="0" fontId="10" fillId="4" borderId="0" xfId="0" applyFont="1" applyFill="1" applyAlignment="1" applyProtection="1">
      <alignment vertical="center"/>
      <protection hidden="1"/>
    </xf>
    <xf numFmtId="4" fontId="26" fillId="4" borderId="45" xfId="0" applyNumberFormat="1" applyFont="1" applyFill="1" applyBorder="1" applyAlignment="1" applyProtection="1">
      <alignment horizontal="center" vertical="center" wrapText="1"/>
      <protection hidden="1"/>
    </xf>
    <xf numFmtId="4" fontId="26" fillId="4" borderId="46" xfId="0" applyNumberFormat="1" applyFont="1" applyFill="1" applyBorder="1" applyAlignment="1" applyProtection="1">
      <alignment horizontal="center" vertical="center" wrapText="1"/>
      <protection hidden="1"/>
    </xf>
    <xf numFmtId="4" fontId="26" fillId="4" borderId="47" xfId="0" applyNumberFormat="1" applyFont="1" applyFill="1" applyBorder="1" applyAlignment="1" applyProtection="1">
      <alignment horizontal="center" vertical="center" wrapText="1"/>
      <protection hidden="1"/>
    </xf>
    <xf numFmtId="4" fontId="23" fillId="4" borderId="48" xfId="0" applyNumberFormat="1" applyFont="1" applyFill="1" applyBorder="1" applyAlignment="1" applyProtection="1">
      <alignment horizontal="center" vertical="center" wrapText="1"/>
      <protection hidden="1"/>
    </xf>
    <xf numFmtId="4" fontId="23" fillId="4" borderId="49" xfId="0" applyNumberFormat="1" applyFont="1" applyFill="1" applyBorder="1" applyAlignment="1" applyProtection="1">
      <alignment horizontal="center" vertical="center"/>
      <protection hidden="1"/>
    </xf>
    <xf numFmtId="4" fontId="23" fillId="4" borderId="50" xfId="0" applyNumberFormat="1" applyFont="1" applyFill="1" applyBorder="1" applyAlignment="1" applyProtection="1">
      <alignment horizontal="center" vertical="center"/>
      <protection hidden="1"/>
    </xf>
    <xf numFmtId="4" fontId="23" fillId="4" borderId="9" xfId="0" applyNumberFormat="1" applyFont="1" applyFill="1" applyBorder="1" applyAlignment="1" applyProtection="1">
      <alignment horizontal="center" vertical="center" wrapText="1"/>
      <protection hidden="1"/>
    </xf>
    <xf numFmtId="4" fontId="23" fillId="4" borderId="10" xfId="0" applyNumberFormat="1" applyFont="1" applyFill="1" applyBorder="1" applyAlignment="1" applyProtection="1">
      <alignment horizontal="center" vertical="center" wrapText="1"/>
      <protection hidden="1"/>
    </xf>
    <xf numFmtId="4" fontId="23" fillId="4" borderId="11" xfId="0" applyNumberFormat="1" applyFont="1" applyFill="1" applyBorder="1" applyAlignment="1" applyProtection="1">
      <alignment horizontal="center" vertical="center" wrapText="1"/>
      <protection hidden="1"/>
    </xf>
    <xf numFmtId="0" fontId="14" fillId="4" borderId="51" xfId="0" applyFont="1" applyFill="1" applyBorder="1" applyAlignment="1" applyProtection="1">
      <alignment horizontal="right" vertical="center"/>
      <protection hidden="1"/>
    </xf>
    <xf numFmtId="0" fontId="14" fillId="4" borderId="52" xfId="0" applyFont="1" applyFill="1" applyBorder="1" applyAlignment="1" applyProtection="1">
      <alignment horizontal="right" vertical="center"/>
      <protection hidden="1"/>
    </xf>
    <xf numFmtId="4" fontId="14" fillId="4" borderId="53" xfId="0" applyNumberFormat="1" applyFont="1" applyFill="1" applyBorder="1" applyAlignment="1" applyProtection="1">
      <alignment horizontal="right" vertical="center"/>
      <protection hidden="1"/>
    </xf>
    <xf numFmtId="4" fontId="14" fillId="4" borderId="54" xfId="0" applyNumberFormat="1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vertical="center"/>
      <protection hidden="1"/>
    </xf>
    <xf numFmtId="0" fontId="12" fillId="4" borderId="0" xfId="0" applyFont="1" applyFill="1" applyAlignment="1" applyProtection="1">
      <alignment vertical="center"/>
      <protection hidden="1"/>
    </xf>
    <xf numFmtId="0" fontId="13" fillId="4" borderId="0" xfId="0" applyFont="1" applyFill="1" applyAlignment="1" applyProtection="1">
      <alignment vertical="center"/>
      <protection hidden="1"/>
    </xf>
    <xf numFmtId="4" fontId="14" fillId="4" borderId="55" xfId="0" applyNumberFormat="1" applyFont="1" applyFill="1" applyBorder="1" applyAlignment="1" applyProtection="1">
      <alignment horizontal="right" vertical="center"/>
      <protection hidden="1"/>
    </xf>
    <xf numFmtId="4" fontId="14" fillId="4" borderId="56" xfId="0" applyNumberFormat="1" applyFont="1" applyFill="1" applyBorder="1" applyAlignment="1" applyProtection="1">
      <alignment horizontal="right" vertical="center"/>
      <protection hidden="1"/>
    </xf>
    <xf numFmtId="0" fontId="9" fillId="4" borderId="0" xfId="0" applyFont="1" applyFill="1" applyBorder="1" applyAlignment="1" applyProtection="1">
      <alignment vertical="center"/>
      <protection hidden="1"/>
    </xf>
    <xf numFmtId="0" fontId="70" fillId="4" borderId="57" xfId="0" applyFont="1" applyFill="1" applyBorder="1" applyAlignment="1" applyProtection="1">
      <alignment horizontal="center" vertical="center" wrapText="1"/>
      <protection hidden="1"/>
    </xf>
    <xf numFmtId="0" fontId="70" fillId="4" borderId="57" xfId="0" applyFont="1" applyFill="1" applyBorder="1" applyAlignment="1" applyProtection="1">
      <alignment horizontal="center" vertical="center" wrapText="1"/>
      <protection hidden="1"/>
    </xf>
    <xf numFmtId="0" fontId="71" fillId="4" borderId="58" xfId="0" applyFont="1" applyFill="1" applyBorder="1" applyAlignment="1" applyProtection="1">
      <alignment horizontal="center" vertical="center"/>
      <protection hidden="1"/>
    </xf>
    <xf numFmtId="3" fontId="71" fillId="4" borderId="58" xfId="0" applyNumberFormat="1" applyFont="1" applyFill="1" applyBorder="1" applyAlignment="1" applyProtection="1">
      <alignment horizontal="center" vertical="center"/>
      <protection hidden="1"/>
    </xf>
    <xf numFmtId="188" fontId="71" fillId="4" borderId="57" xfId="0" applyNumberFormat="1" applyFont="1" applyFill="1" applyBorder="1" applyAlignment="1" applyProtection="1">
      <alignment vertical="center"/>
      <protection hidden="1"/>
    </xf>
    <xf numFmtId="188" fontId="71" fillId="4" borderId="58" xfId="0" applyNumberFormat="1" applyFont="1" applyFill="1" applyBorder="1" applyAlignment="1" applyProtection="1">
      <alignment vertical="center"/>
      <protection hidden="1"/>
    </xf>
    <xf numFmtId="0" fontId="17" fillId="5" borderId="24" xfId="0" applyFont="1" applyFill="1" applyBorder="1" applyAlignment="1" applyProtection="1">
      <alignment horizontal="center" vertical="center" wrapText="1"/>
      <protection hidden="1"/>
    </xf>
    <xf numFmtId="0" fontId="72" fillId="5" borderId="24" xfId="0" applyFont="1" applyFill="1" applyBorder="1" applyAlignment="1" applyProtection="1">
      <alignment horizontal="left" vertical="center" wrapText="1"/>
      <protection hidden="1"/>
    </xf>
    <xf numFmtId="4" fontId="14" fillId="4" borderId="55" xfId="0" applyNumberFormat="1" applyFont="1" applyFill="1" applyBorder="1" applyAlignment="1" applyProtection="1">
      <alignment horizontal="right" vertical="center"/>
      <protection hidden="1"/>
    </xf>
    <xf numFmtId="4" fontId="14" fillId="4" borderId="26" xfId="0" applyNumberFormat="1" applyFont="1" applyFill="1" applyBorder="1" applyAlignment="1" applyProtection="1">
      <alignment horizontal="right" vertical="center"/>
      <protection hidden="1"/>
    </xf>
    <xf numFmtId="4" fontId="14" fillId="4" borderId="27" xfId="0" applyNumberFormat="1" applyFont="1" applyFill="1" applyBorder="1" applyAlignment="1" applyProtection="1">
      <alignment horizontal="right" vertical="center"/>
      <protection hidden="1"/>
    </xf>
    <xf numFmtId="4" fontId="14" fillId="4" borderId="25" xfId="0" applyNumberFormat="1" applyFont="1" applyFill="1" applyBorder="1" applyAlignment="1" applyProtection="1">
      <alignment horizontal="right" vertical="center"/>
      <protection hidden="1"/>
    </xf>
    <xf numFmtId="4" fontId="14" fillId="2" borderId="25" xfId="0" applyNumberFormat="1" applyFont="1" applyFill="1" applyBorder="1" applyAlignment="1" applyProtection="1">
      <alignment horizontal="right" vertical="center"/>
      <protection hidden="1"/>
    </xf>
    <xf numFmtId="4" fontId="14" fillId="2" borderId="26" xfId="0" applyNumberFormat="1" applyFont="1" applyFill="1" applyBorder="1" applyAlignment="1" applyProtection="1">
      <alignment horizontal="right" vertical="center"/>
      <protection hidden="1"/>
    </xf>
    <xf numFmtId="4" fontId="14" fillId="2" borderId="28" xfId="0" applyNumberFormat="1" applyFont="1" applyFill="1" applyBorder="1" applyAlignment="1" applyProtection="1">
      <alignment horizontal="right" vertical="center"/>
      <protection hidden="1"/>
    </xf>
    <xf numFmtId="0" fontId="71" fillId="4" borderId="35" xfId="0" applyFont="1" applyFill="1" applyBorder="1" applyAlignment="1" applyProtection="1">
      <alignment horizontal="center" vertical="center"/>
      <protection hidden="1"/>
    </xf>
    <xf numFmtId="3" fontId="71" fillId="4" borderId="35" xfId="0" applyNumberFormat="1" applyFont="1" applyFill="1" applyBorder="1" applyAlignment="1" applyProtection="1">
      <alignment horizontal="center" vertical="center"/>
      <protection hidden="1"/>
    </xf>
    <xf numFmtId="0" fontId="65" fillId="4" borderId="0" xfId="0" applyFont="1" applyFill="1" applyBorder="1" applyAlignment="1" applyProtection="1">
      <alignment vertical="center" wrapText="1"/>
      <protection hidden="1"/>
    </xf>
    <xf numFmtId="0" fontId="75" fillId="4" borderId="0" xfId="0" applyFont="1" applyFill="1" applyBorder="1" applyAlignment="1" applyProtection="1">
      <alignment vertical="center" wrapText="1"/>
      <protection hidden="1"/>
    </xf>
    <xf numFmtId="0" fontId="38" fillId="4" borderId="0" xfId="0" applyFont="1" applyFill="1" applyBorder="1" applyAlignment="1" applyProtection="1">
      <alignment vertical="center" wrapText="1"/>
      <protection hidden="1"/>
    </xf>
    <xf numFmtId="0" fontId="38" fillId="4" borderId="0" xfId="0" applyFont="1" applyFill="1" applyBorder="1" applyAlignment="1" applyProtection="1">
      <alignment vertical="center"/>
      <protection hidden="1"/>
    </xf>
    <xf numFmtId="0" fontId="61" fillId="4" borderId="0" xfId="0" applyFont="1" applyFill="1" applyBorder="1" applyAlignment="1" applyProtection="1">
      <alignment vertical="center"/>
      <protection hidden="1"/>
    </xf>
    <xf numFmtId="0" fontId="44" fillId="4" borderId="43" xfId="15" applyFont="1" applyFill="1" applyBorder="1" applyAlignment="1" applyProtection="1">
      <alignment vertical="center"/>
      <protection hidden="1"/>
    </xf>
    <xf numFmtId="0" fontId="24" fillId="3" borderId="4" xfId="0" applyFont="1" applyFill="1" applyBorder="1" applyAlignment="1" applyProtection="1">
      <alignment vertical="center"/>
      <protection hidden="1" locked="0"/>
    </xf>
    <xf numFmtId="3" fontId="71" fillId="4" borderId="36" xfId="0" applyNumberFormat="1" applyFont="1" applyFill="1" applyBorder="1" applyAlignment="1" applyProtection="1">
      <alignment horizontal="center" vertical="center"/>
      <protection hidden="1"/>
    </xf>
    <xf numFmtId="0" fontId="38" fillId="4" borderId="0" xfId="0" applyFont="1" applyFill="1" applyAlignment="1" applyProtection="1">
      <alignment/>
      <protection hidden="1"/>
    </xf>
    <xf numFmtId="0" fontId="26" fillId="2" borderId="59" xfId="0" applyFont="1" applyFill="1" applyBorder="1" applyAlignment="1" applyProtection="1">
      <alignment horizontal="right" vertical="top"/>
      <protection hidden="1"/>
    </xf>
    <xf numFmtId="0" fontId="26" fillId="2" borderId="60" xfId="0" applyFont="1" applyFill="1" applyBorder="1" applyAlignment="1" applyProtection="1">
      <alignment horizontal="right" vertical="top"/>
      <protection hidden="1"/>
    </xf>
    <xf numFmtId="0" fontId="26" fillId="2" borderId="61" xfId="0" applyFont="1" applyFill="1" applyBorder="1" applyAlignment="1" applyProtection="1">
      <alignment horizontal="right" vertical="top"/>
      <protection hidden="1"/>
    </xf>
    <xf numFmtId="0" fontId="27" fillId="4" borderId="0" xfId="0" applyFont="1" applyFill="1" applyAlignment="1" applyProtection="1">
      <alignment/>
      <protection hidden="1"/>
    </xf>
    <xf numFmtId="0" fontId="27" fillId="4" borderId="0" xfId="0" applyFont="1" applyFill="1" applyAlignment="1" applyProtection="1">
      <alignment wrapText="1"/>
      <protection hidden="1"/>
    </xf>
    <xf numFmtId="0" fontId="23" fillId="4" borderId="62" xfId="0" applyFont="1" applyFill="1" applyBorder="1" applyAlignment="1" applyProtection="1">
      <alignment horizontal="center" vertical="center"/>
      <protection hidden="1"/>
    </xf>
    <xf numFmtId="0" fontId="23" fillId="4" borderId="63" xfId="0" applyFont="1" applyFill="1" applyBorder="1" applyAlignment="1" applyProtection="1">
      <alignment horizontal="center" vertical="center"/>
      <protection hidden="1"/>
    </xf>
    <xf numFmtId="0" fontId="23" fillId="4" borderId="64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2</xdr:row>
      <xdr:rowOff>523875</xdr:rowOff>
    </xdr:from>
    <xdr:to>
      <xdr:col>1</xdr:col>
      <xdr:colOff>904875</xdr:colOff>
      <xdr:row>6</xdr:row>
      <xdr:rowOff>171450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00150"/>
          <a:ext cx="7524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0</xdr:row>
      <xdr:rowOff>66675</xdr:rowOff>
    </xdr:from>
    <xdr:to>
      <xdr:col>2</xdr:col>
      <xdr:colOff>476250</xdr:colOff>
      <xdr:row>0</xdr:row>
      <xdr:rowOff>247650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6675"/>
          <a:ext cx="1219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8</xdr:row>
      <xdr:rowOff>590550</xdr:rowOff>
    </xdr:from>
    <xdr:to>
      <xdr:col>1</xdr:col>
      <xdr:colOff>904875</xdr:colOff>
      <xdr:row>12</xdr:row>
      <xdr:rowOff>171450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3743325"/>
          <a:ext cx="7524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228600</xdr:rowOff>
    </xdr:from>
    <xdr:to>
      <xdr:col>2</xdr:col>
      <xdr:colOff>161925</xdr:colOff>
      <xdr:row>0</xdr:row>
      <xdr:rowOff>542925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2860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13</xdr:row>
      <xdr:rowOff>304800</xdr:rowOff>
    </xdr:from>
    <xdr:to>
      <xdr:col>2</xdr:col>
      <xdr:colOff>161925</xdr:colOff>
      <xdr:row>13</xdr:row>
      <xdr:rowOff>723900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457575"/>
          <a:ext cx="1219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295275</xdr:rowOff>
    </xdr:from>
    <xdr:to>
      <xdr:col>2</xdr:col>
      <xdr:colOff>161925</xdr:colOff>
      <xdr:row>0</xdr:row>
      <xdr:rowOff>714375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95275"/>
          <a:ext cx="1219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13</xdr:row>
      <xdr:rowOff>295275</xdr:rowOff>
    </xdr:from>
    <xdr:to>
      <xdr:col>2</xdr:col>
      <xdr:colOff>161925</xdr:colOff>
      <xdr:row>13</xdr:row>
      <xdr:rowOff>714375</xdr:rowOff>
    </xdr:to>
    <xdr:pic>
      <xdr:nvPicPr>
        <xdr:cNvPr id="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714750"/>
          <a:ext cx="1219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295275</xdr:rowOff>
    </xdr:from>
    <xdr:to>
      <xdr:col>2</xdr:col>
      <xdr:colOff>161925</xdr:colOff>
      <xdr:row>0</xdr:row>
      <xdr:rowOff>714375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95275"/>
          <a:ext cx="1219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7</xdr:row>
      <xdr:rowOff>295275</xdr:rowOff>
    </xdr:from>
    <xdr:to>
      <xdr:col>2</xdr:col>
      <xdr:colOff>161925</xdr:colOff>
      <xdr:row>7</xdr:row>
      <xdr:rowOff>714375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828925"/>
          <a:ext cx="1219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14</xdr:row>
      <xdr:rowOff>295275</xdr:rowOff>
    </xdr:from>
    <xdr:to>
      <xdr:col>2</xdr:col>
      <xdr:colOff>161925</xdr:colOff>
      <xdr:row>14</xdr:row>
      <xdr:rowOff>714375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362575"/>
          <a:ext cx="1219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304800</xdr:rowOff>
    </xdr:from>
    <xdr:to>
      <xdr:col>2</xdr:col>
      <xdr:colOff>161925</xdr:colOff>
      <xdr:row>0</xdr:row>
      <xdr:rowOff>723900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04800"/>
          <a:ext cx="1219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228600</xdr:rowOff>
    </xdr:from>
    <xdr:to>
      <xdr:col>2</xdr:col>
      <xdr:colOff>161925</xdr:colOff>
      <xdr:row>0</xdr:row>
      <xdr:rowOff>542925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2860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304800</xdr:rowOff>
    </xdr:from>
    <xdr:to>
      <xdr:col>2</xdr:col>
      <xdr:colOff>161925</xdr:colOff>
      <xdr:row>0</xdr:row>
      <xdr:rowOff>723900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04800"/>
          <a:ext cx="1219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 topLeftCell="A1">
      <selection activeCell="B1" sqref="B1:C1"/>
    </sheetView>
  </sheetViews>
  <sheetFormatPr defaultColWidth="9.00390625" defaultRowHeight="12.75"/>
  <cols>
    <col min="1" max="1" width="0.875" style="51" customWidth="1"/>
    <col min="2" max="2" width="13.75390625" style="51" customWidth="1"/>
    <col min="3" max="3" width="50.75390625" style="51" customWidth="1"/>
    <col min="4" max="4" width="22.00390625" style="51" bestFit="1" customWidth="1"/>
    <col min="5" max="5" width="0.875" style="51" customWidth="1"/>
    <col min="6" max="6" width="13.75390625" style="94" customWidth="1"/>
    <col min="7" max="7" width="45.25390625" style="51" bestFit="1" customWidth="1"/>
    <col min="8" max="8" width="0.875" style="51" customWidth="1"/>
    <col min="9" max="16384" width="9.125" style="51" customWidth="1"/>
  </cols>
  <sheetData>
    <row r="1" spans="1:8" ht="27" thickBot="1">
      <c r="A1" s="49"/>
      <c r="B1" s="78"/>
      <c r="C1" s="78"/>
      <c r="D1" s="78" t="s">
        <v>49</v>
      </c>
      <c r="E1" s="78"/>
      <c r="F1" s="78"/>
      <c r="G1" s="78"/>
      <c r="H1" s="93" t="s">
        <v>23</v>
      </c>
    </row>
    <row r="2" spans="1:8" s="62" customFormat="1" ht="26.25">
      <c r="A2" s="49"/>
      <c r="B2" s="60" t="s">
        <v>48</v>
      </c>
      <c r="C2" s="60"/>
      <c r="D2" s="60"/>
      <c r="E2" s="52"/>
      <c r="F2" s="60" t="s">
        <v>29</v>
      </c>
      <c r="G2" s="60"/>
      <c r="H2" s="61"/>
    </row>
    <row r="3" spans="1:8" ht="50.25" customHeight="1">
      <c r="A3" s="49"/>
      <c r="B3" s="64"/>
      <c r="C3" s="65" t="s">
        <v>46</v>
      </c>
      <c r="D3" s="66">
        <v>469.99</v>
      </c>
      <c r="E3" s="52"/>
      <c r="F3" s="79" t="s">
        <v>24</v>
      </c>
      <c r="G3" s="58" t="s">
        <v>62</v>
      </c>
      <c r="H3" s="50"/>
    </row>
    <row r="4" spans="1:8" s="53" customFormat="1" ht="4.5" customHeight="1">
      <c r="A4" s="49"/>
      <c r="B4" s="67"/>
      <c r="C4" s="55"/>
      <c r="D4" s="68"/>
      <c r="E4" s="52"/>
      <c r="F4" s="54"/>
      <c r="G4" s="54"/>
      <c r="H4" s="57"/>
    </row>
    <row r="5" spans="1:8" s="53" customFormat="1" ht="75">
      <c r="A5" s="49"/>
      <c r="B5" s="67"/>
      <c r="C5" s="55"/>
      <c r="D5" s="68"/>
      <c r="E5" s="52"/>
      <c r="F5" s="79" t="s">
        <v>25</v>
      </c>
      <c r="G5" s="59" t="s">
        <v>67</v>
      </c>
      <c r="H5" s="50"/>
    </row>
    <row r="6" spans="1:8" s="53" customFormat="1" ht="4.5" customHeight="1">
      <c r="A6" s="49"/>
      <c r="B6" s="67"/>
      <c r="C6" s="55"/>
      <c r="D6" s="68"/>
      <c r="E6" s="52"/>
      <c r="F6" s="54"/>
      <c r="G6" s="54"/>
      <c r="H6" s="57"/>
    </row>
    <row r="7" spans="1:8" s="53" customFormat="1" ht="56.25">
      <c r="A7" s="49"/>
      <c r="B7" s="69"/>
      <c r="C7" s="70"/>
      <c r="D7" s="71"/>
      <c r="E7" s="52"/>
      <c r="F7" s="79" t="s">
        <v>61</v>
      </c>
      <c r="G7" s="59" t="s">
        <v>63</v>
      </c>
      <c r="H7" s="50"/>
    </row>
    <row r="8" spans="1:8" s="53" customFormat="1" ht="4.5" customHeight="1">
      <c r="A8" s="49"/>
      <c r="B8" s="63"/>
      <c r="C8" s="63"/>
      <c r="D8" s="63"/>
      <c r="E8" s="52"/>
      <c r="F8" s="54"/>
      <c r="G8" s="54"/>
      <c r="H8" s="57"/>
    </row>
    <row r="9" spans="1:8" s="53" customFormat="1" ht="56.25">
      <c r="A9" s="49"/>
      <c r="B9" s="64"/>
      <c r="C9" s="72" t="s">
        <v>47</v>
      </c>
      <c r="D9" s="73">
        <v>299.99</v>
      </c>
      <c r="E9" s="52"/>
      <c r="F9" s="137" t="s">
        <v>26</v>
      </c>
      <c r="G9" s="76" t="s">
        <v>64</v>
      </c>
      <c r="H9" s="50"/>
    </row>
    <row r="10" spans="1:8" s="53" customFormat="1" ht="4.5" customHeight="1">
      <c r="A10" s="49"/>
      <c r="B10" s="67"/>
      <c r="C10" s="56"/>
      <c r="D10" s="74"/>
      <c r="E10" s="52"/>
      <c r="F10" s="54"/>
      <c r="G10" s="54"/>
      <c r="H10" s="57"/>
    </row>
    <row r="11" spans="1:8" s="53" customFormat="1" ht="75">
      <c r="A11" s="49"/>
      <c r="B11" s="67"/>
      <c r="C11" s="56"/>
      <c r="D11" s="74"/>
      <c r="E11" s="52"/>
      <c r="F11" s="79" t="s">
        <v>27</v>
      </c>
      <c r="G11" s="58" t="s">
        <v>65</v>
      </c>
      <c r="H11" s="57"/>
    </row>
    <row r="12" spans="1:8" s="53" customFormat="1" ht="4.5" customHeight="1">
      <c r="A12" s="49"/>
      <c r="B12" s="67"/>
      <c r="C12" s="56"/>
      <c r="D12" s="74"/>
      <c r="E12" s="52"/>
      <c r="F12" s="54"/>
      <c r="G12" s="54"/>
      <c r="H12" s="57"/>
    </row>
    <row r="13" spans="1:8" s="53" customFormat="1" ht="56.25">
      <c r="A13" s="49"/>
      <c r="B13" s="69"/>
      <c r="C13" s="56"/>
      <c r="D13" s="75"/>
      <c r="E13" s="52"/>
      <c r="F13" s="79" t="s">
        <v>28</v>
      </c>
      <c r="G13" s="76" t="s">
        <v>66</v>
      </c>
      <c r="H13" s="57"/>
    </row>
    <row r="14" spans="1:8" s="53" customFormat="1" ht="4.5" customHeight="1">
      <c r="A14" s="49"/>
      <c r="B14" s="77"/>
      <c r="C14" s="77"/>
      <c r="D14" s="77"/>
      <c r="E14" s="52"/>
      <c r="F14" s="94"/>
      <c r="G14" s="51"/>
      <c r="H14" s="57"/>
    </row>
    <row r="15" spans="2:7" ht="18.75">
      <c r="B15" s="146" t="s">
        <v>41</v>
      </c>
      <c r="C15" s="147"/>
      <c r="D15" s="147"/>
      <c r="E15" s="147"/>
      <c r="F15" s="147"/>
      <c r="G15" s="148"/>
    </row>
    <row r="16" spans="2:8" s="144" customFormat="1" ht="30">
      <c r="B16" s="22" t="s">
        <v>37</v>
      </c>
      <c r="C16" s="141"/>
      <c r="D16" s="23" t="s">
        <v>42</v>
      </c>
      <c r="E16" s="23"/>
      <c r="F16" s="23"/>
      <c r="G16" s="24"/>
      <c r="H16" s="145" t="s">
        <v>17</v>
      </c>
    </row>
    <row r="17" spans="2:8" s="144" customFormat="1" ht="30">
      <c r="B17" s="20" t="s">
        <v>38</v>
      </c>
      <c r="C17" s="142"/>
      <c r="D17" s="25" t="s">
        <v>21</v>
      </c>
      <c r="E17" s="25"/>
      <c r="F17" s="25"/>
      <c r="G17" s="26"/>
      <c r="H17" s="145" t="s">
        <v>17</v>
      </c>
    </row>
    <row r="18" spans="2:8" s="144" customFormat="1" ht="60">
      <c r="B18" s="21" t="s">
        <v>39</v>
      </c>
      <c r="C18" s="143"/>
      <c r="D18" s="25" t="s">
        <v>43</v>
      </c>
      <c r="E18" s="25"/>
      <c r="F18" s="25"/>
      <c r="G18" s="26"/>
      <c r="H18" s="145" t="s">
        <v>22</v>
      </c>
    </row>
  </sheetData>
  <sheetProtection password="D62B" sheet="1" objects="1" scenarios="1"/>
  <mergeCells count="25">
    <mergeCell ref="D1:G1"/>
    <mergeCell ref="F8:G8"/>
    <mergeCell ref="C3:C7"/>
    <mergeCell ref="D3:D7"/>
    <mergeCell ref="B1:C1"/>
    <mergeCell ref="B14:D14"/>
    <mergeCell ref="B3:B7"/>
    <mergeCell ref="C9:C13"/>
    <mergeCell ref="D9:D13"/>
    <mergeCell ref="B9:B13"/>
    <mergeCell ref="B16:C16"/>
    <mergeCell ref="B17:C17"/>
    <mergeCell ref="D16:G16"/>
    <mergeCell ref="D17:G17"/>
    <mergeCell ref="A1:A14"/>
    <mergeCell ref="F6:G6"/>
    <mergeCell ref="F10:G10"/>
    <mergeCell ref="F12:G12"/>
    <mergeCell ref="B2:D2"/>
    <mergeCell ref="F2:G2"/>
    <mergeCell ref="B18:C18"/>
    <mergeCell ref="B15:G15"/>
    <mergeCell ref="D18:G18"/>
    <mergeCell ref="F4:G4"/>
    <mergeCell ref="E2:E14"/>
  </mergeCells>
  <hyperlinks>
    <hyperlink ref="F3" location="ESS!A1" tooltip="ESET Smart Security" display="ESS"/>
    <hyperlink ref="G3" location="ESS!A1" tooltip="ESET Smart Security" display="ESS!A1"/>
    <hyperlink ref="F5" location="ENA!A1" tooltip="ESET NOD32 Antivirus" display="ENA"/>
    <hyperlink ref="G5" location="ESS!A1" display="ESS!A1"/>
    <hyperlink ref="G5" location="ENA!A1" tooltip="ESET NOD32 Antivirus" display="ENA!A1"/>
    <hyperlink ref="F11" location="EGS!A1" tooltip="ESET Gateway Security" display="EGS"/>
    <hyperlink ref="G11" location="ESS!A1" tooltip="ESET Smart Security" display="ESS!A1"/>
    <hyperlink ref="G11" location="EGS!A1" tooltip="ESET Gateway Security" display="EGS!A1"/>
    <hyperlink ref="F9" location="EMS!A1" tooltip="ESET Mail Security" display="EMS"/>
    <hyperlink ref="G9" location="EMS!A1" tooltip="ESET Mail Security" display="EMS!A1"/>
    <hyperlink ref="F13" location="EFS!A1" tooltip="ESET File Security" display="EFS"/>
    <hyperlink ref="G13" location="EFS!A1" tooltip="ESET File Security" display="EFS!A1"/>
    <hyperlink ref="F7" location="EMA!A1" tooltip="ESET NOD32 Antivirus" display="ENA"/>
    <hyperlink ref="G7" location="EMA!A1" tooltip="ESET NOD32 Antivirus" display="EMA!A1"/>
  </hyperlinks>
  <printOptions/>
  <pageMargins left="0.3937007874015748" right="0.3937007874015748" top="0.3937007874015748" bottom="0.3937007874015748" header="0.3937007874015748" footer="0.3937007874015748"/>
  <pageSetup fitToHeight="1" fitToWidth="1" horizontalDpi="300" verticalDpi="300" orientation="landscape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9"/>
    <outlinePr summaryBelow="0" summaryRight="0"/>
    <pageSetUpPr fitToPage="1"/>
  </sheetPr>
  <dimension ref="A1:P168"/>
  <sheetViews>
    <sheetView workbookViewId="0" topLeftCell="A1">
      <pane xSplit="12" topLeftCell="M1" activePane="topRight" state="frozen"/>
      <selection pane="topLeft" activeCell="A1" sqref="A1"/>
      <selection pane="topRight" activeCell="C5" sqref="C5"/>
    </sheetView>
  </sheetViews>
  <sheetFormatPr defaultColWidth="9.00390625" defaultRowHeight="12.75"/>
  <cols>
    <col min="1" max="3" width="9.75390625" style="95" customWidth="1"/>
    <col min="4" max="11" width="13.75390625" style="95" customWidth="1"/>
    <col min="12" max="12" width="13.75390625" style="109" customWidth="1"/>
    <col min="13" max="13" width="1.25" style="135" bestFit="1" customWidth="1"/>
    <col min="14" max="16384" width="9.125" style="95" customWidth="1"/>
  </cols>
  <sheetData>
    <row r="1" spans="1:13" ht="63.75" thickBot="1">
      <c r="A1" s="34"/>
      <c r="B1" s="34"/>
      <c r="C1" s="34"/>
      <c r="D1" s="35" t="s">
        <v>76</v>
      </c>
      <c r="E1" s="35"/>
      <c r="F1" s="35"/>
      <c r="G1" s="35"/>
      <c r="H1" s="36"/>
      <c r="I1" s="36"/>
      <c r="J1" s="36"/>
      <c r="K1" s="33" t="s">
        <v>40</v>
      </c>
      <c r="L1" s="33"/>
      <c r="M1" s="132" t="s">
        <v>22</v>
      </c>
    </row>
    <row r="2" spans="1:13" ht="21">
      <c r="A2" s="27" t="s">
        <v>44</v>
      </c>
      <c r="B2" s="28"/>
      <c r="C2" s="29"/>
      <c r="D2" s="96" t="s">
        <v>34</v>
      </c>
      <c r="E2" s="97"/>
      <c r="F2" s="97"/>
      <c r="G2" s="97"/>
      <c r="H2" s="97"/>
      <c r="I2" s="98"/>
      <c r="J2" s="99" t="s">
        <v>32</v>
      </c>
      <c r="K2" s="100"/>
      <c r="L2" s="101"/>
      <c r="M2" s="132"/>
    </row>
    <row r="3" spans="1:13" ht="30">
      <c r="A3" s="11"/>
      <c r="B3" s="9"/>
      <c r="C3" s="10"/>
      <c r="D3" s="102" t="s">
        <v>30</v>
      </c>
      <c r="E3" s="103"/>
      <c r="F3" s="104"/>
      <c r="G3" s="14" t="s">
        <v>31</v>
      </c>
      <c r="H3" s="15"/>
      <c r="I3" s="16"/>
      <c r="J3" s="17" t="s">
        <v>35</v>
      </c>
      <c r="K3" s="18"/>
      <c r="L3" s="19"/>
      <c r="M3" s="133" t="s">
        <v>17</v>
      </c>
    </row>
    <row r="4" spans="1:13" ht="19.5" thickBot="1">
      <c r="A4" s="12"/>
      <c r="B4" s="13"/>
      <c r="C4" s="10"/>
      <c r="D4" s="5" t="s">
        <v>18</v>
      </c>
      <c r="E4" s="6" t="s">
        <v>19</v>
      </c>
      <c r="F4" s="7" t="s">
        <v>20</v>
      </c>
      <c r="G4" s="5" t="s">
        <v>18</v>
      </c>
      <c r="H4" s="6" t="s">
        <v>19</v>
      </c>
      <c r="I4" s="7" t="s">
        <v>20</v>
      </c>
      <c r="J4" s="1" t="s">
        <v>18</v>
      </c>
      <c r="K4" s="2" t="s">
        <v>19</v>
      </c>
      <c r="L4" s="3" t="s">
        <v>20</v>
      </c>
      <c r="M4" s="134"/>
    </row>
    <row r="5" spans="1:12" ht="27.75" customHeight="1" thickBot="1" thickTop="1">
      <c r="A5" s="105" t="s">
        <v>33</v>
      </c>
      <c r="B5" s="106"/>
      <c r="C5" s="138"/>
      <c r="D5" s="107" t="str">
        <f>IF($C$5=0,"&lt;- зазначте",IF(SUM($M7:$M12)=0,"дивіться",D7*N($M7)+D8*N($M8)+D9*N($M9)+D10*N($M10)+D11*N($M11)+D12*N($M12)))</f>
        <v>&lt;- зазначте</v>
      </c>
      <c r="E5" s="38" t="str">
        <f>IF($C$5=0,"СУМАРНУ",IF(SUM($M$7:$M$12)=0,"в розділ",E7*N($M7)+E8*N($M8)+E9*N($M9)+E10*N($M10)+E11*N($M11)+E12*N($M12)))</f>
        <v>СУМАРНУ</v>
      </c>
      <c r="F5" s="39" t="str">
        <f>IF($C$5=0,"кількість",IF(SUM($M$7:$M$12)=0,"Бізнес",F7*N($M7)+F8*N($M8)+F9*N($M9)+F10*N($M10)+F11*N($M11)+F12*N($M12)))</f>
        <v>кількість</v>
      </c>
      <c r="G5" s="37" t="str">
        <f>IF($C$5=0,"серверів",IF(SUM($M7:$M12)=0,"версія",G7*N($M7)+G8*N($M8)+G9*N($M9)+G10*N($M10)+G11*N($M11)+G12*N($M12)))</f>
        <v>серверів</v>
      </c>
      <c r="H5" s="38" t="str">
        <f>IF($C$5=0,"і робочих",IF(SUM($M7:$M12)=0,"",H7*N($M7)+H8*N($M8)+H9*N($M9)+H10*N($M10)+H11*N($M11)+H12*N($M12)))</f>
        <v>і робочих</v>
      </c>
      <c r="I5" s="39" t="str">
        <f>IF($C$5=0,"станцій,",IF(SUM($M7:$M12)=0,"дивіться",I7*N($M7)+I8*N($M8)+I9*N($M9)+I10*N($M10)+I11*N($M11)+I12*N($M12)))</f>
        <v>станцій,</v>
      </c>
      <c r="J5" s="40" t="str">
        <f>IF($C$5=0,"що мають",IF(SUM($M7:$M12)=0,"в розділ",J7*N($M7)+J8*N($M8)+J9*N($M9)+J10*N($M10)+J11*N($M11)+J12*N($M12)))</f>
        <v>що мають</v>
      </c>
      <c r="K5" s="41" t="str">
        <f>IF($C$5=0,"бути",IF(SUM($M7:$M12)=0,"Бізнес",K7*N($M7)+K8*N($M8)+K9*N($M9)+K10*N($M10)+K11*N($M11)+K12*N($M12)))</f>
        <v>бути</v>
      </c>
      <c r="L5" s="42" t="str">
        <f>IF($C$5=0,"захищені",IF(SUM($M7:$M12)=0,"версія",L7*N($M7)+L8*N($M8)+L9*N($M9)+L10*N($M10)+L11*N($M11)+L12*N($M12)))</f>
        <v>захищені</v>
      </c>
    </row>
    <row r="6" spans="1:12" ht="14.25" customHeight="1" thickTop="1">
      <c r="A6" s="115" t="s">
        <v>36</v>
      </c>
      <c r="B6" s="116" t="s">
        <v>58</v>
      </c>
      <c r="C6" s="116"/>
      <c r="D6" s="108"/>
      <c r="E6" s="44"/>
      <c r="F6" s="45"/>
      <c r="G6" s="43"/>
      <c r="H6" s="44"/>
      <c r="I6" s="45"/>
      <c r="J6" s="46"/>
      <c r="K6" s="47"/>
      <c r="L6" s="48"/>
    </row>
    <row r="7" spans="1:13" ht="11.25">
      <c r="A7" s="117" t="s">
        <v>0</v>
      </c>
      <c r="B7" s="118">
        <v>1</v>
      </c>
      <c r="C7" s="118">
        <v>1</v>
      </c>
      <c r="D7" s="119">
        <v>467.52</v>
      </c>
      <c r="E7" s="119">
        <v>700.74</v>
      </c>
      <c r="F7" s="119">
        <v>981.24</v>
      </c>
      <c r="G7" s="119">
        <v>280.5</v>
      </c>
      <c r="H7" s="119">
        <v>514.08</v>
      </c>
      <c r="I7" s="119">
        <v>794.58</v>
      </c>
      <c r="J7" s="119">
        <v>233.58</v>
      </c>
      <c r="K7" s="119">
        <v>467.16</v>
      </c>
      <c r="L7" s="119">
        <v>700.74</v>
      </c>
      <c r="M7" s="114">
        <f aca="true" t="shared" si="0" ref="M7:M12">IF(AND($C$5&gt;=B7,$C$5&lt;=C7),$C$5,"")</f>
      </c>
    </row>
    <row r="8" spans="1:13" ht="11.25">
      <c r="A8" s="117" t="s">
        <v>1</v>
      </c>
      <c r="B8" s="118">
        <v>2</v>
      </c>
      <c r="C8" s="118">
        <v>2</v>
      </c>
      <c r="D8" s="120">
        <v>280.5</v>
      </c>
      <c r="E8" s="120">
        <v>421.26</v>
      </c>
      <c r="F8" s="120">
        <v>589.56</v>
      </c>
      <c r="G8" s="120">
        <v>168.3</v>
      </c>
      <c r="H8" s="120">
        <v>309.06</v>
      </c>
      <c r="I8" s="120">
        <v>477.36</v>
      </c>
      <c r="J8" s="120">
        <v>140.76</v>
      </c>
      <c r="K8" s="120">
        <v>280.5</v>
      </c>
      <c r="L8" s="120">
        <v>421.26</v>
      </c>
      <c r="M8" s="114">
        <f t="shared" si="0"/>
      </c>
    </row>
    <row r="9" spans="1:13" ht="11.25">
      <c r="A9" s="117" t="s">
        <v>2</v>
      </c>
      <c r="B9" s="118">
        <v>3</v>
      </c>
      <c r="C9" s="118">
        <v>3</v>
      </c>
      <c r="D9" s="120">
        <v>267.78</v>
      </c>
      <c r="E9" s="120">
        <v>401.88</v>
      </c>
      <c r="F9" s="120">
        <v>562.02</v>
      </c>
      <c r="G9" s="120">
        <v>161.16</v>
      </c>
      <c r="H9" s="120">
        <v>294.78</v>
      </c>
      <c r="I9" s="120">
        <v>454.92</v>
      </c>
      <c r="J9" s="120">
        <v>133.62</v>
      </c>
      <c r="K9" s="120">
        <v>268.26</v>
      </c>
      <c r="L9" s="120">
        <v>401.88</v>
      </c>
      <c r="M9" s="114">
        <f t="shared" si="0"/>
      </c>
    </row>
    <row r="10" spans="1:13" ht="11.25">
      <c r="A10" s="117" t="s">
        <v>3</v>
      </c>
      <c r="B10" s="118">
        <v>4</v>
      </c>
      <c r="C10" s="118">
        <v>4</v>
      </c>
      <c r="D10" s="120">
        <v>255</v>
      </c>
      <c r="E10" s="120">
        <v>382.5</v>
      </c>
      <c r="F10" s="120">
        <v>535.5</v>
      </c>
      <c r="G10" s="120">
        <v>153</v>
      </c>
      <c r="H10" s="120">
        <v>280.5</v>
      </c>
      <c r="I10" s="120">
        <v>433.5</v>
      </c>
      <c r="J10" s="120">
        <v>127.5</v>
      </c>
      <c r="K10" s="120">
        <v>255</v>
      </c>
      <c r="L10" s="120">
        <v>382.5</v>
      </c>
      <c r="M10" s="114">
        <f t="shared" si="0"/>
      </c>
    </row>
    <row r="11" spans="1:13" ht="11.25">
      <c r="A11" s="117" t="s">
        <v>4</v>
      </c>
      <c r="B11" s="118">
        <v>5</v>
      </c>
      <c r="C11" s="118">
        <v>10</v>
      </c>
      <c r="D11" s="120">
        <v>255</v>
      </c>
      <c r="E11" s="120">
        <v>382.5</v>
      </c>
      <c r="F11" s="120">
        <v>535.5</v>
      </c>
      <c r="G11" s="120">
        <v>153</v>
      </c>
      <c r="H11" s="120">
        <v>280.5</v>
      </c>
      <c r="I11" s="120">
        <v>433.5</v>
      </c>
      <c r="J11" s="120">
        <v>127.5</v>
      </c>
      <c r="K11" s="120">
        <v>255</v>
      </c>
      <c r="L11" s="120">
        <v>382.5</v>
      </c>
      <c r="M11" s="114">
        <f t="shared" si="0"/>
      </c>
    </row>
    <row r="12" spans="1:13" ht="11.25">
      <c r="A12" s="117" t="s">
        <v>5</v>
      </c>
      <c r="B12" s="118">
        <v>11</v>
      </c>
      <c r="C12" s="118">
        <v>24</v>
      </c>
      <c r="D12" s="120">
        <v>244.8</v>
      </c>
      <c r="E12" s="120">
        <v>367.2</v>
      </c>
      <c r="F12" s="120">
        <v>514.08</v>
      </c>
      <c r="G12" s="120">
        <v>146.88</v>
      </c>
      <c r="H12" s="120">
        <v>269.28</v>
      </c>
      <c r="I12" s="120">
        <v>416.16</v>
      </c>
      <c r="J12" s="120">
        <v>122.4</v>
      </c>
      <c r="K12" s="120">
        <v>244.8</v>
      </c>
      <c r="L12" s="120">
        <v>367.2</v>
      </c>
      <c r="M12" s="114">
        <f t="shared" si="0"/>
      </c>
    </row>
    <row r="13" spans="1:16" s="111" customFormat="1" ht="4.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136"/>
      <c r="N13" s="110"/>
      <c r="O13" s="110"/>
      <c r="P13" s="110"/>
    </row>
    <row r="14" spans="1:13" s="111" customFormat="1" ht="85.5" customHeight="1" thickBot="1">
      <c r="A14" s="34"/>
      <c r="B14" s="34"/>
      <c r="C14" s="34"/>
      <c r="D14" s="87" t="s">
        <v>77</v>
      </c>
      <c r="E14" s="87"/>
      <c r="F14" s="87"/>
      <c r="G14" s="87"/>
      <c r="H14" s="88">
        <f>CONCATENATE(IF(C18=10,"див. для
11 ПК",""),IF(AND(C18&gt;=22,C18&lt;=24),"див. для
25 ПК",""),IF(AND(C18&gt;=92,C18&lt;=99),"див. для
100 ПК",""),IF(AND(C18&gt;=224,C18&lt;=249),"див. для
250 ПК",""),IF(AND(C18&gt;=412,C18&lt;=499),"див. для
500 ПК",""),IF(AND(C18&gt;=834,C18&lt;=999),"див. для
1000 ПК",""),IF(AND(C18&gt;=1834,C18&lt;=1999),"див. для
2000 ПК",""),IF(AND(C18&gt;=4546,C18&lt;=4999),"див. для
5000 ПК",""),IF(AND(C18&gt;=9000,C18&lt;=9999),"див. для
10000 ПК",""),IF(AND(C18&gt;=22058,C18&lt;=24999),"див. для
25000 ПК",""),IF(AND(C18&gt;=43743,C18&lt;=49999),"див. для
50000 ПК",""))</f>
      </c>
      <c r="I14" s="88"/>
      <c r="J14" s="88"/>
      <c r="K14" s="33" t="s">
        <v>40</v>
      </c>
      <c r="L14" s="33"/>
      <c r="M14" s="132" t="s">
        <v>22</v>
      </c>
    </row>
    <row r="15" spans="1:13" ht="21">
      <c r="A15" s="27" t="s">
        <v>45</v>
      </c>
      <c r="B15" s="28"/>
      <c r="C15" s="29"/>
      <c r="D15" s="96" t="s">
        <v>34</v>
      </c>
      <c r="E15" s="97"/>
      <c r="F15" s="97"/>
      <c r="G15" s="97"/>
      <c r="H15" s="97"/>
      <c r="I15" s="98"/>
      <c r="J15" s="99" t="s">
        <v>32</v>
      </c>
      <c r="K15" s="100"/>
      <c r="L15" s="101"/>
      <c r="M15" s="132"/>
    </row>
    <row r="16" spans="1:13" ht="30">
      <c r="A16" s="11"/>
      <c r="B16" s="9"/>
      <c r="C16" s="10"/>
      <c r="D16" s="102" t="s">
        <v>30</v>
      </c>
      <c r="E16" s="103"/>
      <c r="F16" s="104"/>
      <c r="G16" s="14" t="s">
        <v>31</v>
      </c>
      <c r="H16" s="15"/>
      <c r="I16" s="16"/>
      <c r="J16" s="17" t="s">
        <v>35</v>
      </c>
      <c r="K16" s="18"/>
      <c r="L16" s="19"/>
      <c r="M16" s="133" t="s">
        <v>17</v>
      </c>
    </row>
    <row r="17" spans="1:13" ht="19.5" thickBot="1">
      <c r="A17" s="12"/>
      <c r="B17" s="13"/>
      <c r="C17" s="10"/>
      <c r="D17" s="5" t="s">
        <v>18</v>
      </c>
      <c r="E17" s="6" t="s">
        <v>19</v>
      </c>
      <c r="F17" s="7" t="s">
        <v>20</v>
      </c>
      <c r="G17" s="5" t="s">
        <v>18</v>
      </c>
      <c r="H17" s="6" t="s">
        <v>19</v>
      </c>
      <c r="I17" s="7" t="s">
        <v>20</v>
      </c>
      <c r="J17" s="1" t="s">
        <v>18</v>
      </c>
      <c r="K17" s="2" t="s">
        <v>19</v>
      </c>
      <c r="L17" s="3" t="s">
        <v>20</v>
      </c>
      <c r="M17" s="134"/>
    </row>
    <row r="18" spans="1:12" ht="27.75" customHeight="1" thickBot="1" thickTop="1">
      <c r="A18" s="105" t="s">
        <v>33</v>
      </c>
      <c r="B18" s="106"/>
      <c r="C18" s="138"/>
      <c r="D18" s="112" t="str">
        <f>IF($C$18=0,"&lt;- зазначте",IF(N(SUM($M20:$M32))=0,"дивіться",D20*N($M20)+D21*N($M21)+D22*N($M22)+D23*N($M23)+D24*N($M24)+D25*N($M25)+D26*N($M26)+D27*N($M27)+D28*N($M28)+D29*N($M29)+D30*N($M30)+D31*N($M31)+D32*N($M32)))</f>
        <v>&lt;- зазначте</v>
      </c>
      <c r="E18" s="38" t="str">
        <f>IF($C$18=0,"СУМАРНУ",IF(N(SUM($M20:$M32))=0,"в розділ",E20*N($M20)+E21*N($M21)+E22*N($M22)+E23*N($M23)+E24*N($M24)+E25*N($M25)+E26*N($M26)+E27*N($M27)+E28*N($M28)+E29*N($M29)+E30*N($M30)+E31*N($M31)+E32*N($M32)))</f>
        <v>СУМАРНУ</v>
      </c>
      <c r="F18" s="39" t="str">
        <f>IF($C$18=0,"кількість",IF(N(SUM($M20:$M32))=0,"Домашня",F20*N($M20)+F21*N($M21)+F22*N($M22)+F23*N($M23)+F24*N($M24)+F25*N($M25)+F26*N($M26)+F27*N($M27)+F28*N($M28)+F29*N($M29)+F30*N($M30)+F31*N($M31)+F32*N($M32)))</f>
        <v>кількість</v>
      </c>
      <c r="G18" s="37" t="str">
        <f>IF($C$18=0,"серверів",IF(N(SUM($M20:$M32))=0,"версія",G20*N($M20)+G21*N($M21)+G22*N($M22)+G23*N($M23)+G24*N($M24)+G25*N($M25)+G26*N($M26)+G27*N($M27)+G28*N($M28)+G29*N($M29)+G30*N($M30)+G31*N($M31)+G32*N($M32)))</f>
        <v>серверів</v>
      </c>
      <c r="H18" s="38" t="str">
        <f>IF($C$18=0,"і робочих",IF(N(SUM($M20:$M32))=0,"",H20*N($M20)+H21*N($M21)+H22*N($M22)+H23*N($M23)+H24*N($M24)+H25*N($M25)+H26*N($M26)+H27*N($M27)+H28*N($M28)+H29*N($M29)+H30*N($M30)+H31*N($M31)+H32*N($M32)))</f>
        <v>і робочих</v>
      </c>
      <c r="I18" s="39" t="str">
        <f>IF($C$18=0,"станцій,",IF(N(SUM($M20:$M32))=0,"дивіться",I20*N($M20)+I21*N($M21)+I22*N($M22)+I23*N($M23)+I24*N($M24)+I25*N($M25)+I26*N($M26)+I27*N($M27)+I28*N($M28)+I29*N($M29)+I30*N($M30)+I31*N($M31)+I32*N($M32)))</f>
        <v>станцій,</v>
      </c>
      <c r="J18" s="40" t="str">
        <f>IF($C$18=0,"що мають",IF(N(SUM($M20:$M32))=0,"в розділ",J20*N($M20)+J21*N($M21)+J22*N($M22)+J23*N($M23)+J24*N($M24)+J25*N($M25)+J26*N($M26)+J27*N($M27)+J28*N($M28)+J29*N($M29)+J30*N($M30)+J31*N($M31)+J32*N($M32)))</f>
        <v>що мають</v>
      </c>
      <c r="K18" s="41" t="str">
        <f>IF($C$18=0,"бути",IF(N(SUM($M20:$M32))=0,"Домашня",K20*N($M20)+K21*N($M21)+K22*N($M22)+K23*N($M23)+K24*N($M24)+K25*N($M25)+K26*N($M26)+K27*N($M27)+K28*N($M28)+K29*N($M29)+K30*N($M30)+K31*N($M31)+K32*N($M32)))</f>
        <v>бути</v>
      </c>
      <c r="L18" s="42" t="str">
        <f>IF($C$18=0,"захищені",IF(N(SUM($M20:$M32))=0,"версія",L20*N($M20)+L21*N($M21)+L22*N($M22)+L23*N($M23)+L24*N($M24)+L25*N($M25)+L26*N($M26)+L27*N($M27)+L28*N($M28)+L29*N($M29)+L30*N($M30)+L31*N($M31)+L32*N($M32)))</f>
        <v>захищені</v>
      </c>
    </row>
    <row r="19" spans="1:12" ht="14.25" customHeight="1" thickTop="1">
      <c r="A19" s="115" t="s">
        <v>36</v>
      </c>
      <c r="B19" s="116" t="s">
        <v>58</v>
      </c>
      <c r="C19" s="116"/>
      <c r="D19" s="113"/>
      <c r="E19" s="44"/>
      <c r="F19" s="45"/>
      <c r="G19" s="43"/>
      <c r="H19" s="44"/>
      <c r="I19" s="45"/>
      <c r="J19" s="46"/>
      <c r="K19" s="47"/>
      <c r="L19" s="48"/>
    </row>
    <row r="20" spans="1:13" ht="11.25">
      <c r="A20" s="117" t="s">
        <v>4</v>
      </c>
      <c r="B20" s="118">
        <v>5</v>
      </c>
      <c r="C20" s="118">
        <v>10</v>
      </c>
      <c r="D20" s="119">
        <v>418.14</v>
      </c>
      <c r="E20" s="119">
        <v>627.3</v>
      </c>
      <c r="F20" s="119">
        <v>878.22</v>
      </c>
      <c r="G20" s="119">
        <v>250.92</v>
      </c>
      <c r="H20" s="119">
        <v>460.02</v>
      </c>
      <c r="I20" s="119">
        <v>710.94</v>
      </c>
      <c r="J20" s="119">
        <v>209.1</v>
      </c>
      <c r="K20" s="119">
        <v>418.2</v>
      </c>
      <c r="L20" s="119">
        <v>627.3</v>
      </c>
      <c r="M20" s="114">
        <f>IF(AND($C$18&gt;=B20,$C$18&lt;=C20),$C$18,"")</f>
      </c>
    </row>
    <row r="21" spans="1:13" ht="11.25">
      <c r="A21" s="117" t="s">
        <v>5</v>
      </c>
      <c r="B21" s="118">
        <v>11</v>
      </c>
      <c r="C21" s="118">
        <v>24</v>
      </c>
      <c r="D21" s="120">
        <v>356.94</v>
      </c>
      <c r="E21" s="120">
        <v>535.5</v>
      </c>
      <c r="F21" s="120">
        <v>749.7</v>
      </c>
      <c r="G21" s="120">
        <v>214.2</v>
      </c>
      <c r="H21" s="120">
        <v>392.7</v>
      </c>
      <c r="I21" s="120">
        <v>606.9</v>
      </c>
      <c r="J21" s="120">
        <v>178.5</v>
      </c>
      <c r="K21" s="120">
        <v>357</v>
      </c>
      <c r="L21" s="120">
        <v>535.5</v>
      </c>
      <c r="M21" s="114">
        <f aca="true" t="shared" si="1" ref="M21:M31">IF(AND($C$18&gt;=B21,$C$18&lt;=C21),$C$18,"")</f>
      </c>
    </row>
    <row r="22" spans="1:13" ht="11.25">
      <c r="A22" s="117" t="s">
        <v>6</v>
      </c>
      <c r="B22" s="118">
        <v>25</v>
      </c>
      <c r="C22" s="118">
        <v>49</v>
      </c>
      <c r="D22" s="120">
        <v>305.94</v>
      </c>
      <c r="E22" s="120">
        <v>459</v>
      </c>
      <c r="F22" s="120">
        <v>642.6</v>
      </c>
      <c r="G22" s="120">
        <v>183.6</v>
      </c>
      <c r="H22" s="120">
        <v>336.6</v>
      </c>
      <c r="I22" s="120">
        <v>520.2</v>
      </c>
      <c r="J22" s="120">
        <v>153</v>
      </c>
      <c r="K22" s="120">
        <v>306</v>
      </c>
      <c r="L22" s="120">
        <v>459</v>
      </c>
      <c r="M22" s="114">
        <f t="shared" si="1"/>
      </c>
    </row>
    <row r="23" spans="1:13" ht="11.25">
      <c r="A23" s="117" t="s">
        <v>7</v>
      </c>
      <c r="B23" s="118">
        <v>50</v>
      </c>
      <c r="C23" s="118">
        <v>99</v>
      </c>
      <c r="D23" s="120">
        <v>285.54</v>
      </c>
      <c r="E23" s="120">
        <v>428.4</v>
      </c>
      <c r="F23" s="120">
        <v>599.76</v>
      </c>
      <c r="G23" s="120">
        <v>171.36</v>
      </c>
      <c r="H23" s="120">
        <v>314.16</v>
      </c>
      <c r="I23" s="120">
        <v>485.52</v>
      </c>
      <c r="J23" s="120">
        <v>142.8</v>
      </c>
      <c r="K23" s="120">
        <v>285.6</v>
      </c>
      <c r="L23" s="120">
        <v>428.4</v>
      </c>
      <c r="M23" s="114">
        <f t="shared" si="1"/>
      </c>
    </row>
    <row r="24" spans="1:13" ht="11.25">
      <c r="A24" s="117" t="s">
        <v>8</v>
      </c>
      <c r="B24" s="118">
        <v>100</v>
      </c>
      <c r="C24" s="118">
        <v>249</v>
      </c>
      <c r="D24" s="120">
        <v>265.14</v>
      </c>
      <c r="E24" s="120">
        <v>397.8</v>
      </c>
      <c r="F24" s="120">
        <v>556.92</v>
      </c>
      <c r="G24" s="120">
        <v>159.12</v>
      </c>
      <c r="H24" s="120">
        <v>291.72</v>
      </c>
      <c r="I24" s="120">
        <v>450.84</v>
      </c>
      <c r="J24" s="120">
        <v>132.6</v>
      </c>
      <c r="K24" s="120">
        <v>265.2</v>
      </c>
      <c r="L24" s="120">
        <v>397.8</v>
      </c>
      <c r="M24" s="114">
        <f t="shared" si="1"/>
      </c>
    </row>
    <row r="25" spans="1:13" ht="11.25">
      <c r="A25" s="117" t="s">
        <v>9</v>
      </c>
      <c r="B25" s="118">
        <v>250</v>
      </c>
      <c r="C25" s="118">
        <v>499</v>
      </c>
      <c r="D25" s="120">
        <v>244.74</v>
      </c>
      <c r="E25" s="120">
        <v>367.2</v>
      </c>
      <c r="F25" s="120">
        <v>514.08</v>
      </c>
      <c r="G25" s="120">
        <v>146.88</v>
      </c>
      <c r="H25" s="120">
        <v>269.28</v>
      </c>
      <c r="I25" s="120">
        <v>416.16</v>
      </c>
      <c r="J25" s="120">
        <v>122.4</v>
      </c>
      <c r="K25" s="120">
        <v>244.8</v>
      </c>
      <c r="L25" s="120">
        <v>367.2</v>
      </c>
      <c r="M25" s="114">
        <f t="shared" si="1"/>
      </c>
    </row>
    <row r="26" spans="1:13" ht="11.25">
      <c r="A26" s="117" t="s">
        <v>10</v>
      </c>
      <c r="B26" s="118">
        <v>500</v>
      </c>
      <c r="C26" s="118">
        <v>999</v>
      </c>
      <c r="D26" s="120">
        <v>203.94</v>
      </c>
      <c r="E26" s="120">
        <v>306</v>
      </c>
      <c r="F26" s="120">
        <v>428.4</v>
      </c>
      <c r="G26" s="120">
        <v>122.4</v>
      </c>
      <c r="H26" s="120">
        <v>224.4</v>
      </c>
      <c r="I26" s="120">
        <v>346.8</v>
      </c>
      <c r="J26" s="120">
        <v>102</v>
      </c>
      <c r="K26" s="120">
        <v>204</v>
      </c>
      <c r="L26" s="120">
        <v>306</v>
      </c>
      <c r="M26" s="114">
        <f t="shared" si="1"/>
      </c>
    </row>
    <row r="27" spans="1:13" ht="11.25">
      <c r="A27" s="117" t="s">
        <v>11</v>
      </c>
      <c r="B27" s="118">
        <v>1000</v>
      </c>
      <c r="C27" s="118">
        <v>1999</v>
      </c>
      <c r="D27" s="120">
        <v>173.34</v>
      </c>
      <c r="E27" s="120">
        <v>260.1</v>
      </c>
      <c r="F27" s="120">
        <v>364.14</v>
      </c>
      <c r="G27" s="120">
        <v>104.04</v>
      </c>
      <c r="H27" s="120">
        <v>190.74</v>
      </c>
      <c r="I27" s="120">
        <v>294.78</v>
      </c>
      <c r="J27" s="120">
        <v>86.7</v>
      </c>
      <c r="K27" s="120">
        <v>173.4</v>
      </c>
      <c r="L27" s="120">
        <v>260.1</v>
      </c>
      <c r="M27" s="114">
        <f t="shared" si="1"/>
      </c>
    </row>
    <row r="28" spans="1:13" ht="11.25">
      <c r="A28" s="117" t="s">
        <v>12</v>
      </c>
      <c r="B28" s="118">
        <v>2000</v>
      </c>
      <c r="C28" s="118">
        <v>4999</v>
      </c>
      <c r="D28" s="120">
        <v>163.14</v>
      </c>
      <c r="E28" s="120">
        <v>244.8</v>
      </c>
      <c r="F28" s="120">
        <v>342.72</v>
      </c>
      <c r="G28" s="120">
        <v>97.92</v>
      </c>
      <c r="H28" s="120">
        <v>179.52</v>
      </c>
      <c r="I28" s="120">
        <v>277.44</v>
      </c>
      <c r="J28" s="120">
        <v>81.6</v>
      </c>
      <c r="K28" s="120">
        <v>163.2</v>
      </c>
      <c r="L28" s="120">
        <v>244.8</v>
      </c>
      <c r="M28" s="114">
        <f t="shared" si="1"/>
      </c>
    </row>
    <row r="29" spans="1:13" ht="11.25">
      <c r="A29" s="117" t="s">
        <v>13</v>
      </c>
      <c r="B29" s="118">
        <v>5000</v>
      </c>
      <c r="C29" s="118">
        <v>9999</v>
      </c>
      <c r="D29" s="120">
        <v>152.94</v>
      </c>
      <c r="E29" s="120">
        <v>229.5</v>
      </c>
      <c r="F29" s="120">
        <v>321.3</v>
      </c>
      <c r="G29" s="120">
        <v>91.8</v>
      </c>
      <c r="H29" s="120">
        <v>168.3</v>
      </c>
      <c r="I29" s="120">
        <v>260.1</v>
      </c>
      <c r="J29" s="120">
        <v>76.5</v>
      </c>
      <c r="K29" s="120">
        <v>153</v>
      </c>
      <c r="L29" s="120">
        <v>229.5</v>
      </c>
      <c r="M29" s="114">
        <f t="shared" si="1"/>
      </c>
    </row>
    <row r="30" spans="1:13" ht="11.25">
      <c r="A30" s="117" t="s">
        <v>14</v>
      </c>
      <c r="B30" s="118">
        <v>10000</v>
      </c>
      <c r="C30" s="118">
        <v>24999</v>
      </c>
      <c r="D30" s="120">
        <v>142.74</v>
      </c>
      <c r="E30" s="120">
        <v>214.2</v>
      </c>
      <c r="F30" s="120">
        <v>299.88</v>
      </c>
      <c r="G30" s="120">
        <v>85.68</v>
      </c>
      <c r="H30" s="120">
        <v>157.08</v>
      </c>
      <c r="I30" s="120">
        <v>242.76</v>
      </c>
      <c r="J30" s="120">
        <v>71.4</v>
      </c>
      <c r="K30" s="120">
        <v>142.8</v>
      </c>
      <c r="L30" s="120">
        <v>214.2</v>
      </c>
      <c r="M30" s="114">
        <f t="shared" si="1"/>
      </c>
    </row>
    <row r="31" spans="1:13" ht="11.25">
      <c r="A31" s="117" t="s">
        <v>15</v>
      </c>
      <c r="B31" s="118">
        <v>25000</v>
      </c>
      <c r="C31" s="118">
        <v>49999</v>
      </c>
      <c r="D31" s="120">
        <v>132.54</v>
      </c>
      <c r="E31" s="120">
        <v>198.9</v>
      </c>
      <c r="F31" s="120">
        <v>278.46</v>
      </c>
      <c r="G31" s="120">
        <v>79.56</v>
      </c>
      <c r="H31" s="120">
        <v>145.86</v>
      </c>
      <c r="I31" s="120">
        <v>225.42</v>
      </c>
      <c r="J31" s="120">
        <v>66.3</v>
      </c>
      <c r="K31" s="120">
        <v>132.6</v>
      </c>
      <c r="L31" s="120">
        <v>198.9</v>
      </c>
      <c r="M31" s="114">
        <f t="shared" si="1"/>
      </c>
    </row>
    <row r="32" spans="1:13" ht="11.25">
      <c r="A32" s="117" t="s">
        <v>16</v>
      </c>
      <c r="B32" s="118">
        <v>50000</v>
      </c>
      <c r="C32" s="118"/>
      <c r="D32" s="120">
        <v>122.34</v>
      </c>
      <c r="E32" s="120">
        <v>183.6</v>
      </c>
      <c r="F32" s="120">
        <v>257.04</v>
      </c>
      <c r="G32" s="120">
        <v>73.44</v>
      </c>
      <c r="H32" s="120">
        <v>134.64</v>
      </c>
      <c r="I32" s="120">
        <v>208.08</v>
      </c>
      <c r="J32" s="120">
        <v>61.2</v>
      </c>
      <c r="K32" s="120">
        <v>122.4</v>
      </c>
      <c r="L32" s="120">
        <v>183.6</v>
      </c>
      <c r="M32" s="114">
        <f>IF($C$18&gt;=B32,$C$18,"")</f>
      </c>
    </row>
    <row r="33" ht="11.25">
      <c r="M33" s="114"/>
    </row>
    <row r="34" ht="11.25">
      <c r="M34" s="114"/>
    </row>
    <row r="35" ht="11.25">
      <c r="M35" s="114"/>
    </row>
    <row r="36" ht="11.25">
      <c r="M36" s="114"/>
    </row>
    <row r="37" ht="11.25">
      <c r="M37" s="114"/>
    </row>
    <row r="38" ht="11.25">
      <c r="M38" s="114"/>
    </row>
    <row r="39" ht="11.25">
      <c r="M39" s="114"/>
    </row>
    <row r="40" ht="11.25">
      <c r="M40" s="114"/>
    </row>
    <row r="41" ht="11.25">
      <c r="M41" s="114"/>
    </row>
    <row r="42" ht="11.25">
      <c r="M42" s="114"/>
    </row>
    <row r="43" ht="11.25">
      <c r="M43" s="114"/>
    </row>
    <row r="44" ht="11.25">
      <c r="M44" s="114"/>
    </row>
    <row r="45" ht="11.25">
      <c r="M45" s="114"/>
    </row>
    <row r="46" ht="11.25">
      <c r="M46" s="114"/>
    </row>
    <row r="47" ht="11.25">
      <c r="M47" s="114"/>
    </row>
    <row r="48" ht="11.25">
      <c r="M48" s="114"/>
    </row>
    <row r="49" ht="11.25">
      <c r="M49" s="114"/>
    </row>
    <row r="50" ht="11.25">
      <c r="M50" s="114"/>
    </row>
    <row r="51" ht="11.25">
      <c r="M51" s="114"/>
    </row>
    <row r="52" ht="11.25">
      <c r="M52" s="114"/>
    </row>
    <row r="53" ht="11.25">
      <c r="M53" s="114"/>
    </row>
    <row r="54" ht="11.25">
      <c r="M54" s="114"/>
    </row>
    <row r="55" ht="11.25">
      <c r="M55" s="114"/>
    </row>
    <row r="56" ht="11.25">
      <c r="M56" s="114"/>
    </row>
    <row r="57" ht="11.25">
      <c r="M57" s="114"/>
    </row>
    <row r="58" ht="11.25">
      <c r="M58" s="114"/>
    </row>
    <row r="59" ht="11.25">
      <c r="M59" s="114"/>
    </row>
    <row r="60" ht="11.25">
      <c r="M60" s="114"/>
    </row>
    <row r="61" ht="11.25">
      <c r="M61" s="114"/>
    </row>
    <row r="62" ht="11.25">
      <c r="M62" s="114"/>
    </row>
    <row r="63" ht="11.25">
      <c r="M63" s="114"/>
    </row>
    <row r="64" ht="11.25">
      <c r="M64" s="114"/>
    </row>
    <row r="65" ht="11.25">
      <c r="M65" s="114"/>
    </row>
    <row r="66" ht="11.25">
      <c r="M66" s="114"/>
    </row>
    <row r="67" ht="11.25">
      <c r="M67" s="114"/>
    </row>
    <row r="68" ht="11.25">
      <c r="M68" s="114"/>
    </row>
    <row r="69" ht="11.25">
      <c r="M69" s="114"/>
    </row>
    <row r="70" ht="11.25">
      <c r="M70" s="114"/>
    </row>
    <row r="71" ht="11.25">
      <c r="M71" s="114"/>
    </row>
    <row r="72" ht="11.25">
      <c r="M72" s="114"/>
    </row>
    <row r="73" ht="11.25">
      <c r="M73" s="114"/>
    </row>
    <row r="74" ht="11.25">
      <c r="M74" s="114"/>
    </row>
    <row r="75" ht="11.25">
      <c r="M75" s="114"/>
    </row>
    <row r="76" ht="11.25">
      <c r="M76" s="114"/>
    </row>
    <row r="77" ht="11.25">
      <c r="M77" s="114"/>
    </row>
    <row r="78" ht="11.25">
      <c r="M78" s="114"/>
    </row>
    <row r="79" ht="11.25">
      <c r="M79" s="114"/>
    </row>
    <row r="80" ht="11.25">
      <c r="M80" s="114"/>
    </row>
    <row r="81" ht="11.25">
      <c r="M81" s="114"/>
    </row>
    <row r="82" ht="11.25">
      <c r="M82" s="114"/>
    </row>
    <row r="83" ht="11.25">
      <c r="M83" s="114"/>
    </row>
    <row r="84" ht="11.25">
      <c r="M84" s="114"/>
    </row>
    <row r="85" ht="11.25">
      <c r="M85" s="114"/>
    </row>
    <row r="86" ht="11.25">
      <c r="M86" s="114"/>
    </row>
    <row r="87" ht="11.25">
      <c r="M87" s="114"/>
    </row>
    <row r="88" ht="11.25">
      <c r="M88" s="114"/>
    </row>
    <row r="89" ht="11.25">
      <c r="M89" s="114"/>
    </row>
    <row r="90" ht="11.25">
      <c r="M90" s="114"/>
    </row>
    <row r="91" ht="11.25">
      <c r="M91" s="114"/>
    </row>
    <row r="92" ht="11.25">
      <c r="M92" s="114"/>
    </row>
    <row r="93" ht="11.25">
      <c r="M93" s="114"/>
    </row>
    <row r="94" ht="11.25">
      <c r="M94" s="114"/>
    </row>
    <row r="95" ht="11.25">
      <c r="M95" s="114"/>
    </row>
    <row r="96" ht="11.25">
      <c r="M96" s="114"/>
    </row>
    <row r="97" ht="11.25">
      <c r="M97" s="114"/>
    </row>
    <row r="98" ht="11.25">
      <c r="M98" s="114"/>
    </row>
    <row r="99" ht="11.25">
      <c r="M99" s="114"/>
    </row>
    <row r="100" ht="11.25">
      <c r="M100" s="114"/>
    </row>
    <row r="101" ht="11.25">
      <c r="M101" s="114"/>
    </row>
    <row r="102" ht="11.25">
      <c r="M102" s="114"/>
    </row>
    <row r="103" ht="11.25">
      <c r="M103" s="114"/>
    </row>
    <row r="104" ht="11.25">
      <c r="M104" s="114"/>
    </row>
    <row r="105" ht="11.25">
      <c r="M105" s="114"/>
    </row>
    <row r="106" ht="11.25">
      <c r="M106" s="114"/>
    </row>
    <row r="107" ht="11.25">
      <c r="M107" s="114"/>
    </row>
    <row r="108" ht="11.25">
      <c r="M108" s="114"/>
    </row>
    <row r="109" ht="11.25">
      <c r="M109" s="114"/>
    </row>
    <row r="110" ht="11.25">
      <c r="M110" s="114"/>
    </row>
    <row r="111" ht="11.25">
      <c r="M111" s="114"/>
    </row>
    <row r="112" ht="11.25">
      <c r="M112" s="114"/>
    </row>
    <row r="113" ht="11.25">
      <c r="M113" s="114"/>
    </row>
    <row r="114" ht="11.25">
      <c r="M114" s="114"/>
    </row>
    <row r="115" ht="11.25">
      <c r="M115" s="114"/>
    </row>
    <row r="116" ht="11.25">
      <c r="M116" s="114"/>
    </row>
    <row r="117" ht="11.25">
      <c r="M117" s="114"/>
    </row>
    <row r="118" ht="11.25">
      <c r="M118" s="114"/>
    </row>
    <row r="119" ht="11.25">
      <c r="M119" s="114"/>
    </row>
    <row r="120" ht="11.25">
      <c r="M120" s="114"/>
    </row>
    <row r="121" ht="11.25">
      <c r="M121" s="114"/>
    </row>
    <row r="122" ht="11.25">
      <c r="M122" s="114"/>
    </row>
    <row r="123" ht="11.25">
      <c r="M123" s="114"/>
    </row>
    <row r="124" ht="11.25">
      <c r="M124" s="114"/>
    </row>
    <row r="125" ht="11.25">
      <c r="M125" s="114"/>
    </row>
    <row r="126" ht="11.25">
      <c r="M126" s="114"/>
    </row>
    <row r="127" ht="11.25">
      <c r="M127" s="114"/>
    </row>
    <row r="128" ht="11.25">
      <c r="M128" s="114"/>
    </row>
    <row r="129" ht="11.25">
      <c r="M129" s="114"/>
    </row>
    <row r="130" ht="11.25">
      <c r="M130" s="114"/>
    </row>
    <row r="131" ht="11.25">
      <c r="M131" s="114"/>
    </row>
    <row r="132" ht="11.25">
      <c r="M132" s="114"/>
    </row>
    <row r="133" ht="11.25">
      <c r="M133" s="114"/>
    </row>
    <row r="134" ht="11.25">
      <c r="M134" s="114"/>
    </row>
    <row r="135" ht="11.25">
      <c r="M135" s="114"/>
    </row>
    <row r="136" ht="11.25">
      <c r="M136" s="114"/>
    </row>
    <row r="137" ht="11.25">
      <c r="M137" s="114"/>
    </row>
    <row r="138" ht="11.25">
      <c r="M138" s="114"/>
    </row>
    <row r="139" ht="11.25">
      <c r="M139" s="114"/>
    </row>
    <row r="140" ht="11.25">
      <c r="M140" s="114"/>
    </row>
    <row r="141" ht="11.25">
      <c r="M141" s="114"/>
    </row>
    <row r="142" ht="11.25">
      <c r="M142" s="114"/>
    </row>
    <row r="143" ht="11.25">
      <c r="M143" s="114"/>
    </row>
    <row r="144" ht="11.25">
      <c r="M144" s="114"/>
    </row>
    <row r="145" ht="11.25">
      <c r="M145" s="114"/>
    </row>
    <row r="146" ht="11.25">
      <c r="M146" s="114"/>
    </row>
    <row r="147" ht="11.25">
      <c r="M147" s="114"/>
    </row>
    <row r="148" ht="11.25">
      <c r="M148" s="114"/>
    </row>
    <row r="149" ht="11.25">
      <c r="M149" s="114"/>
    </row>
    <row r="150" ht="11.25">
      <c r="M150" s="114"/>
    </row>
    <row r="151" ht="11.25">
      <c r="M151" s="114"/>
    </row>
    <row r="152" ht="11.25">
      <c r="M152" s="114"/>
    </row>
    <row r="153" ht="11.25">
      <c r="M153" s="114"/>
    </row>
    <row r="154" ht="11.25">
      <c r="M154" s="114"/>
    </row>
    <row r="155" ht="11.25">
      <c r="M155" s="114"/>
    </row>
    <row r="156" ht="11.25">
      <c r="M156" s="114"/>
    </row>
    <row r="157" ht="11.25">
      <c r="M157" s="114"/>
    </row>
    <row r="158" ht="11.25">
      <c r="M158" s="114"/>
    </row>
    <row r="159" ht="11.25">
      <c r="M159" s="114"/>
    </row>
    <row r="160" ht="11.25">
      <c r="M160" s="114"/>
    </row>
    <row r="161" ht="11.25">
      <c r="M161" s="114"/>
    </row>
    <row r="162" ht="11.25">
      <c r="M162" s="114"/>
    </row>
    <row r="163" ht="11.25">
      <c r="M163" s="114"/>
    </row>
    <row r="164" ht="11.25">
      <c r="M164" s="114"/>
    </row>
    <row r="165" ht="11.25">
      <c r="M165" s="114"/>
    </row>
    <row r="166" ht="11.25">
      <c r="M166" s="114"/>
    </row>
    <row r="167" ht="11.25">
      <c r="M167" s="114"/>
    </row>
    <row r="168" ht="11.25">
      <c r="M168" s="114"/>
    </row>
  </sheetData>
  <sheetProtection password="D62B" sheet="1" objects="1" scenarios="1"/>
  <mergeCells count="43">
    <mergeCell ref="A1:C1"/>
    <mergeCell ref="L18:L19"/>
    <mergeCell ref="B19:C19"/>
    <mergeCell ref="A13:L13"/>
    <mergeCell ref="K18:K19"/>
    <mergeCell ref="A14:C14"/>
    <mergeCell ref="G18:G19"/>
    <mergeCell ref="H18:H19"/>
    <mergeCell ref="I18:I19"/>
    <mergeCell ref="J18:J19"/>
    <mergeCell ref="A18:B18"/>
    <mergeCell ref="D18:D19"/>
    <mergeCell ref="E18:E19"/>
    <mergeCell ref="F18:F19"/>
    <mergeCell ref="A15:C17"/>
    <mergeCell ref="D15:I15"/>
    <mergeCell ref="J15:L15"/>
    <mergeCell ref="D16:F16"/>
    <mergeCell ref="G16:I16"/>
    <mergeCell ref="J16:L16"/>
    <mergeCell ref="K14:L14"/>
    <mergeCell ref="D14:G14"/>
    <mergeCell ref="H14:J14"/>
    <mergeCell ref="J5:J6"/>
    <mergeCell ref="K5:K6"/>
    <mergeCell ref="L5:L6"/>
    <mergeCell ref="D2:I2"/>
    <mergeCell ref="A5:B5"/>
    <mergeCell ref="D5:D6"/>
    <mergeCell ref="E5:E6"/>
    <mergeCell ref="F5:F6"/>
    <mergeCell ref="B6:C6"/>
    <mergeCell ref="G5:G6"/>
    <mergeCell ref="H5:H6"/>
    <mergeCell ref="I5:I6"/>
    <mergeCell ref="D1:G1"/>
    <mergeCell ref="H1:J1"/>
    <mergeCell ref="K1:L1"/>
    <mergeCell ref="A2:C4"/>
    <mergeCell ref="J2:L2"/>
    <mergeCell ref="D3:F3"/>
    <mergeCell ref="G3:I3"/>
    <mergeCell ref="J3:L3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1200" verticalDpi="12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21"/>
    <outlinePr summaryBelow="0"/>
    <pageSetUpPr fitToPage="1"/>
  </sheetPr>
  <dimension ref="A1:P32"/>
  <sheetViews>
    <sheetView workbookViewId="0" topLeftCell="A1">
      <selection activeCell="C5" sqref="C5"/>
    </sheetView>
  </sheetViews>
  <sheetFormatPr defaultColWidth="9.00390625" defaultRowHeight="12.75"/>
  <cols>
    <col min="1" max="3" width="9.75390625" style="95" customWidth="1"/>
    <col min="4" max="12" width="13.75390625" style="95" customWidth="1"/>
    <col min="13" max="13" width="1.25" style="114" bestFit="1" customWidth="1"/>
    <col min="14" max="16384" width="9.125" style="95" customWidth="1"/>
  </cols>
  <sheetData>
    <row r="1" spans="1:13" ht="84.75" customHeight="1" thickBot="1">
      <c r="A1" s="30"/>
      <c r="B1" s="30"/>
      <c r="C1" s="30"/>
      <c r="D1" s="31" t="s">
        <v>71</v>
      </c>
      <c r="E1" s="31"/>
      <c r="F1" s="31"/>
      <c r="G1" s="31"/>
      <c r="H1" s="31"/>
      <c r="I1" s="32"/>
      <c r="J1" s="32"/>
      <c r="K1" s="81" t="s">
        <v>50</v>
      </c>
      <c r="L1" s="80"/>
      <c r="M1" s="132" t="s">
        <v>22</v>
      </c>
    </row>
    <row r="2" spans="1:13" ht="21">
      <c r="A2" s="27" t="s">
        <v>44</v>
      </c>
      <c r="B2" s="28"/>
      <c r="C2" s="29"/>
      <c r="D2" s="96" t="s">
        <v>34</v>
      </c>
      <c r="E2" s="97"/>
      <c r="F2" s="97"/>
      <c r="G2" s="97"/>
      <c r="H2" s="97"/>
      <c r="I2" s="98"/>
      <c r="J2" s="99" t="s">
        <v>32</v>
      </c>
      <c r="K2" s="100"/>
      <c r="L2" s="101"/>
      <c r="M2" s="132"/>
    </row>
    <row r="3" spans="1:13" ht="30">
      <c r="A3" s="11"/>
      <c r="B3" s="9"/>
      <c r="C3" s="10"/>
      <c r="D3" s="102" t="s">
        <v>30</v>
      </c>
      <c r="E3" s="103"/>
      <c r="F3" s="104"/>
      <c r="G3" s="14" t="s">
        <v>31</v>
      </c>
      <c r="H3" s="15"/>
      <c r="I3" s="16"/>
      <c r="J3" s="17" t="s">
        <v>35</v>
      </c>
      <c r="K3" s="18"/>
      <c r="L3" s="19"/>
      <c r="M3" s="133" t="s">
        <v>17</v>
      </c>
    </row>
    <row r="4" spans="1:13" ht="19.5" thickBot="1">
      <c r="A4" s="12"/>
      <c r="B4" s="13"/>
      <c r="C4" s="10"/>
      <c r="D4" s="5" t="s">
        <v>18</v>
      </c>
      <c r="E4" s="6" t="s">
        <v>19</v>
      </c>
      <c r="F4" s="7" t="s">
        <v>20</v>
      </c>
      <c r="G4" s="5" t="s">
        <v>18</v>
      </c>
      <c r="H4" s="6" t="s">
        <v>19</v>
      </c>
      <c r="I4" s="7" t="s">
        <v>20</v>
      </c>
      <c r="J4" s="1" t="s">
        <v>18</v>
      </c>
      <c r="K4" s="2" t="s">
        <v>19</v>
      </c>
      <c r="L4" s="3" t="s">
        <v>20</v>
      </c>
      <c r="M4" s="134"/>
    </row>
    <row r="5" spans="1:13" ht="27.75" customHeight="1" thickBot="1" thickTop="1">
      <c r="A5" s="105" t="s">
        <v>33</v>
      </c>
      <c r="B5" s="106"/>
      <c r="C5" s="4"/>
      <c r="D5" s="107" t="str">
        <f>IF($C$5=0,"&lt;- зазначте",IF(SUM($M7:$M12)=0,"дивіться",D7*N($M7)+D8*N($M8)+D9*N($M9)+D10*N($M10)+D11*N($M11)+D12*N($M12)))</f>
        <v>&lt;- зазначте</v>
      </c>
      <c r="E5" s="38" t="str">
        <f>IF($C$5=0,"СУМАРНУ",IF(SUM($M$7:$M$12)=0,"в розділ",E7*N($M7)+E8*N($M8)+E9*N($M9)+E10*N($M10)+E11*N($M11)+E12*N($M12)))</f>
        <v>СУМАРНУ</v>
      </c>
      <c r="F5" s="39" t="str">
        <f>IF($C$5=0,"кількість",IF(SUM($M$7:$M$12)=0,"Бізнес",F7*N($M7)+F8*N($M8)+F9*N($M9)+F10*N($M10)+F11*N($M11)+F12*N($M12)))</f>
        <v>кількість</v>
      </c>
      <c r="G5" s="37" t="str">
        <f>IF($C$5=0,"серверів",IF(SUM($M7:$M12)=0,"версія",G7*N($M7)+G8*N($M8)+G9*N($M9)+G10*N($M10)+G11*N($M11)+G12*N($M12)))</f>
        <v>серверів</v>
      </c>
      <c r="H5" s="38" t="str">
        <f>IF($C$5=0,"і робочих",IF(SUM($M7:$M12)=0,"",H7*N($M7)+H8*N($M8)+H9*N($M9)+H10*N($M10)+H11*N($M11)+H12*N($M12)))</f>
        <v>і робочих</v>
      </c>
      <c r="I5" s="39" t="str">
        <f>IF($C$5=0,"станцій,",IF(SUM($M7:$M12)=0,"дивіться",I7*N($M7)+I8*N($M8)+I9*N($M9)+I10*N($M10)+I11*N($M11)+I12*N($M12)))</f>
        <v>станцій,</v>
      </c>
      <c r="J5" s="40" t="str">
        <f>IF($C$5=0,"що мають",IF(SUM($M7:$M12)=0,"в розділ",J7*N($M7)+J8*N($M8)+J9*N($M9)+J10*N($M10)+J11*N($M11)+J12*N($M12)))</f>
        <v>що мають</v>
      </c>
      <c r="K5" s="41" t="str">
        <f>IF($C$5=0,"бути",IF(SUM($M7:$M12)=0,"Бізнес",K7*N($M7)+K8*N($M8)+K9*N($M9)+K10*N($M10)+K11*N($M11)+K12*N($M12)))</f>
        <v>бути</v>
      </c>
      <c r="L5" s="42" t="str">
        <f>IF($C$5=0,"захищені",IF(SUM($M7:$M12)=0,"версія",L7*N($M7)+L8*N($M8)+L9*N($M9)+L10*N($M10)+L11*N($M11)+L12*N($M12)))</f>
        <v>захищені</v>
      </c>
      <c r="M5" s="135"/>
    </row>
    <row r="6" spans="1:13" ht="14.25" customHeight="1" thickTop="1">
      <c r="A6" s="115" t="s">
        <v>36</v>
      </c>
      <c r="B6" s="116" t="s">
        <v>58</v>
      </c>
      <c r="C6" s="116"/>
      <c r="D6" s="108"/>
      <c r="E6" s="44"/>
      <c r="F6" s="45"/>
      <c r="G6" s="43"/>
      <c r="H6" s="44"/>
      <c r="I6" s="45"/>
      <c r="J6" s="46"/>
      <c r="K6" s="47"/>
      <c r="L6" s="48"/>
      <c r="M6" s="135"/>
    </row>
    <row r="7" spans="1:13" ht="11.25">
      <c r="A7" s="117" t="s">
        <v>0</v>
      </c>
      <c r="B7" s="118">
        <v>1</v>
      </c>
      <c r="C7" s="118">
        <v>1</v>
      </c>
      <c r="D7" s="119">
        <v>297.54</v>
      </c>
      <c r="E7" s="119">
        <v>446.76</v>
      </c>
      <c r="F7" s="119">
        <v>625.26</v>
      </c>
      <c r="G7" s="119">
        <v>178.5</v>
      </c>
      <c r="H7" s="119">
        <v>327.42</v>
      </c>
      <c r="I7" s="119">
        <v>505.92</v>
      </c>
      <c r="J7" s="119">
        <v>148.92</v>
      </c>
      <c r="K7" s="119">
        <v>297.84</v>
      </c>
      <c r="L7" s="119">
        <v>446.76</v>
      </c>
      <c r="M7" s="114">
        <f aca="true" t="shared" si="0" ref="M7:M12">IF(AND($C$5&gt;=B7,$C$5&lt;=C7),$C$5,"")</f>
      </c>
    </row>
    <row r="8" spans="1:13" ht="11.25">
      <c r="A8" s="117" t="s">
        <v>1</v>
      </c>
      <c r="B8" s="118">
        <v>2</v>
      </c>
      <c r="C8" s="118">
        <v>2</v>
      </c>
      <c r="D8" s="120">
        <v>233.82</v>
      </c>
      <c r="E8" s="120">
        <v>350.88</v>
      </c>
      <c r="F8" s="120">
        <v>490.62</v>
      </c>
      <c r="G8" s="120">
        <v>140.76</v>
      </c>
      <c r="H8" s="120">
        <v>257.04</v>
      </c>
      <c r="I8" s="120">
        <v>397.8</v>
      </c>
      <c r="J8" s="120">
        <v>117.3</v>
      </c>
      <c r="K8" s="120">
        <v>233.58</v>
      </c>
      <c r="L8" s="120">
        <v>350.88</v>
      </c>
      <c r="M8" s="114">
        <f t="shared" si="0"/>
      </c>
    </row>
    <row r="9" spans="1:13" ht="11.25">
      <c r="A9" s="117" t="s">
        <v>2</v>
      </c>
      <c r="B9" s="118">
        <v>3</v>
      </c>
      <c r="C9" s="118">
        <v>3</v>
      </c>
      <c r="D9" s="120">
        <v>212.52</v>
      </c>
      <c r="E9" s="120">
        <v>318.24</v>
      </c>
      <c r="F9" s="120">
        <v>445.74</v>
      </c>
      <c r="G9" s="120">
        <v>127.5</v>
      </c>
      <c r="H9" s="120">
        <v>233.58</v>
      </c>
      <c r="I9" s="120">
        <v>361.08</v>
      </c>
      <c r="J9" s="120">
        <v>106.08</v>
      </c>
      <c r="K9" s="120">
        <v>212.16</v>
      </c>
      <c r="L9" s="120">
        <v>318.24</v>
      </c>
      <c r="M9" s="114">
        <f t="shared" si="0"/>
      </c>
    </row>
    <row r="10" spans="1:13" ht="11.25">
      <c r="A10" s="117" t="s">
        <v>3</v>
      </c>
      <c r="B10" s="118">
        <v>4</v>
      </c>
      <c r="C10" s="118">
        <v>4</v>
      </c>
      <c r="D10" s="120">
        <v>201.9</v>
      </c>
      <c r="E10" s="120">
        <v>302.94</v>
      </c>
      <c r="F10" s="120">
        <v>424.32</v>
      </c>
      <c r="G10" s="120">
        <v>121.38</v>
      </c>
      <c r="H10" s="120">
        <v>222.36</v>
      </c>
      <c r="I10" s="120">
        <v>342.72</v>
      </c>
      <c r="J10" s="120">
        <v>100.98</v>
      </c>
      <c r="K10" s="120">
        <v>201.96</v>
      </c>
      <c r="L10" s="120">
        <v>302.94</v>
      </c>
      <c r="M10" s="114">
        <f t="shared" si="0"/>
      </c>
    </row>
    <row r="11" spans="1:13" ht="11.25">
      <c r="A11" s="117" t="s">
        <v>4</v>
      </c>
      <c r="B11" s="118">
        <v>5</v>
      </c>
      <c r="C11" s="118">
        <v>10</v>
      </c>
      <c r="D11" s="120">
        <v>204</v>
      </c>
      <c r="E11" s="120">
        <v>306</v>
      </c>
      <c r="F11" s="120">
        <v>428.4</v>
      </c>
      <c r="G11" s="120">
        <v>122.4</v>
      </c>
      <c r="H11" s="120">
        <v>224.4</v>
      </c>
      <c r="I11" s="120">
        <v>346.8</v>
      </c>
      <c r="J11" s="120">
        <v>102</v>
      </c>
      <c r="K11" s="120">
        <v>204</v>
      </c>
      <c r="L11" s="120">
        <v>306</v>
      </c>
      <c r="M11" s="114">
        <f t="shared" si="0"/>
      </c>
    </row>
    <row r="12" spans="1:13" ht="11.25">
      <c r="A12" s="117" t="s">
        <v>5</v>
      </c>
      <c r="B12" s="118">
        <v>11</v>
      </c>
      <c r="C12" s="118">
        <v>24</v>
      </c>
      <c r="D12" s="120">
        <v>193.8</v>
      </c>
      <c r="E12" s="120">
        <v>290.7</v>
      </c>
      <c r="F12" s="120">
        <v>406.98</v>
      </c>
      <c r="G12" s="120">
        <v>116.28</v>
      </c>
      <c r="H12" s="120">
        <v>213.18</v>
      </c>
      <c r="I12" s="120">
        <v>329.46</v>
      </c>
      <c r="J12" s="120">
        <v>96.9</v>
      </c>
      <c r="K12" s="120">
        <v>193.8</v>
      </c>
      <c r="L12" s="120">
        <v>290.7</v>
      </c>
      <c r="M12" s="114">
        <f t="shared" si="0"/>
      </c>
    </row>
    <row r="13" spans="1:16" s="111" customFormat="1" ht="4.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136"/>
      <c r="N13" s="110"/>
      <c r="O13" s="110"/>
      <c r="P13" s="110"/>
    </row>
    <row r="14" spans="1:13" s="111" customFormat="1" ht="85.5" customHeight="1" thickBot="1">
      <c r="A14" s="82"/>
      <c r="B14" s="82"/>
      <c r="C14" s="82"/>
      <c r="D14" s="31" t="s">
        <v>72</v>
      </c>
      <c r="E14" s="31"/>
      <c r="F14" s="31"/>
      <c r="G14" s="31"/>
      <c r="H14" s="31"/>
      <c r="I14" s="83">
        <f>CONCATENATE(IF(C18=10,"див. для
11 ПК",""),IF(AND(C18&gt;=22,C18&lt;=24),"див. для
25 ПК",""),IF(AND(C18&gt;=92,C18&lt;=99),"див. для
100 ПК",""),IF(AND(C18&gt;=224,C18&lt;=249),"див. для
250 ПК",""),IF(AND(C18&gt;=412,C18&lt;=499),"див. для
500 ПК",""),IF(AND(C18&gt;=834,C18&lt;=999),"див. для
1000 ПК",""),IF(AND(C18&gt;=1834,C18&lt;=1999),"див. для
2000 ПК",""),IF(AND(C18&gt;=4546,C18&lt;=4999),"див. для
5000 ПК",""),IF(AND(C18&gt;=9000,C18&lt;=9999),"див. для
10000 ПК",""),IF(AND(C18&gt;=22058,C18&lt;=24999),"див. для
25000 ПК",""),IF(AND(C18&gt;=43743,C18&lt;=49999),"див. для
50000 ПК",""))</f>
      </c>
      <c r="J14" s="83"/>
      <c r="K14" s="84" t="s">
        <v>50</v>
      </c>
      <c r="L14" s="85"/>
      <c r="M14" s="132" t="s">
        <v>22</v>
      </c>
    </row>
    <row r="15" spans="1:13" ht="21">
      <c r="A15" s="27" t="s">
        <v>45</v>
      </c>
      <c r="B15" s="28"/>
      <c r="C15" s="29"/>
      <c r="D15" s="96" t="s">
        <v>34</v>
      </c>
      <c r="E15" s="97"/>
      <c r="F15" s="97"/>
      <c r="G15" s="97"/>
      <c r="H15" s="97"/>
      <c r="I15" s="98"/>
      <c r="J15" s="99" t="s">
        <v>32</v>
      </c>
      <c r="K15" s="100"/>
      <c r="L15" s="101"/>
      <c r="M15" s="132"/>
    </row>
    <row r="16" spans="1:13" ht="30">
      <c r="A16" s="11"/>
      <c r="B16" s="9"/>
      <c r="C16" s="10"/>
      <c r="D16" s="102" t="s">
        <v>30</v>
      </c>
      <c r="E16" s="103"/>
      <c r="F16" s="104"/>
      <c r="G16" s="14" t="s">
        <v>31</v>
      </c>
      <c r="H16" s="15"/>
      <c r="I16" s="16"/>
      <c r="J16" s="17" t="s">
        <v>35</v>
      </c>
      <c r="K16" s="18"/>
      <c r="L16" s="19"/>
      <c r="M16" s="133" t="s">
        <v>17</v>
      </c>
    </row>
    <row r="17" spans="1:13" ht="19.5" thickBot="1">
      <c r="A17" s="12"/>
      <c r="B17" s="13"/>
      <c r="C17" s="10"/>
      <c r="D17" s="5" t="s">
        <v>18</v>
      </c>
      <c r="E17" s="6" t="s">
        <v>19</v>
      </c>
      <c r="F17" s="7" t="s">
        <v>20</v>
      </c>
      <c r="G17" s="5" t="s">
        <v>18</v>
      </c>
      <c r="H17" s="6" t="s">
        <v>19</v>
      </c>
      <c r="I17" s="7" t="s">
        <v>20</v>
      </c>
      <c r="J17" s="1" t="s">
        <v>18</v>
      </c>
      <c r="K17" s="2" t="s">
        <v>19</v>
      </c>
      <c r="L17" s="3" t="s">
        <v>20</v>
      </c>
      <c r="M17" s="134"/>
    </row>
    <row r="18" spans="1:13" ht="27.75" customHeight="1" thickBot="1" thickTop="1">
      <c r="A18" s="105" t="s">
        <v>33</v>
      </c>
      <c r="B18" s="106"/>
      <c r="C18" s="4"/>
      <c r="D18" s="112" t="str">
        <f>IF($C$18=0,"&lt;- зазначте",IF(N(SUM($M20:$M32))=0,"дивіться",D20*N($M20)+D21*N($M21)+D22*N($M22)+D23*N($M23)+D24*N($M24)+D25*N($M25)+D26*N($M26)+D27*N($M27)+D28*N($M28)+D29*N($M29)+D30*N($M30)+D31*N($M31)+D32*N($M32)))</f>
        <v>&lt;- зазначте</v>
      </c>
      <c r="E18" s="38" t="str">
        <f>IF($C$18=0,"СУМАРНУ",IF(N(SUM($M20:$M32))=0,"в розділ",E20*N($M20)+E21*N($M21)+E22*N($M22)+E23*N($M23)+E24*N($M24)+E25*N($M25)+E26*N($M26)+E27*N($M27)+E28*N($M28)+E29*N($M29)+E30*N($M30)+E31*N($M31)+E32*N($M32)))</f>
        <v>СУМАРНУ</v>
      </c>
      <c r="F18" s="39" t="str">
        <f>IF($C$18=0,"кількість",IF(N(SUM($M20:$M32))=0,"Домашня",F20*N($M20)+F21*N($M21)+F22*N($M22)+F23*N($M23)+F24*N($M24)+F25*N($M25)+F26*N($M26)+F27*N($M27)+F28*N($M28)+F29*N($M29)+F30*N($M30)+F31*N($M31)+F32*N($M32)))</f>
        <v>кількість</v>
      </c>
      <c r="G18" s="37" t="str">
        <f>IF($C$18=0,"серверів",IF(N(SUM($M20:$M32))=0,"версія",G20*N($M20)+G21*N($M21)+G22*N($M22)+G23*N($M23)+G24*N($M24)+G25*N($M25)+G26*N($M26)+G27*N($M27)+G28*N($M28)+G29*N($M29)+G30*N($M30)+G31*N($M31)+G32*N($M32)))</f>
        <v>серверів</v>
      </c>
      <c r="H18" s="38" t="str">
        <f>IF($C$18=0,"і робочих",IF(N(SUM($M20:$M32))=0,"",H20*N($M20)+H21*N($M21)+H22*N($M22)+H23*N($M23)+H24*N($M24)+H25*N($M25)+H26*N($M26)+H27*N($M27)+H28*N($M28)+H29*N($M29)+H30*N($M30)+H31*N($M31)+H32*N($M32)))</f>
        <v>і робочих</v>
      </c>
      <c r="I18" s="39" t="str">
        <f>IF($C$18=0,"станцій,",IF(N(SUM($M20:$M32))=0,"дивіться",I20*N($M20)+I21*N($M21)+I22*N($M22)+I23*N($M23)+I24*N($M24)+I25*N($M25)+I26*N($M26)+I27*N($M27)+I28*N($M28)+I29*N($M29)+I30*N($M30)+I31*N($M31)+I32*N($M32)))</f>
        <v>станцій,</v>
      </c>
      <c r="J18" s="40" t="str">
        <f>IF($C$18=0,"що мають",IF(N(SUM($M20:$M32))=0,"в розділ",J20*N($M20)+J21*N($M21)+J22*N($M22)+J23*N($M23)+J24*N($M24)+J25*N($M25)+J26*N($M26)+J27*N($M27)+J28*N($M28)+J29*N($M29)+J30*N($M30)+J31*N($M31)+J32*N($M32)))</f>
        <v>що мають</v>
      </c>
      <c r="K18" s="41" t="str">
        <f>IF($C$18=0,"бути",IF(N(SUM($M20:$M32))=0,"Домашня",K20*N($M20)+K21*N($M21)+K22*N($M22)+K23*N($M23)+K24*N($M24)+K25*N($M25)+K26*N($M26)+K27*N($M27)+K28*N($M28)+K29*N($M29)+K30*N($M30)+K31*N($M31)+K32*N($M32)))</f>
        <v>бути</v>
      </c>
      <c r="L18" s="42" t="str">
        <f>IF($C$18=0,"захищені",IF(N(SUM($M20:$M32))=0,"версія",L20*N($M20)+L21*N($M21)+L22*N($M22)+L23*N($M23)+L24*N($M24)+L25*N($M25)+L26*N($M26)+L27*N($M27)+L28*N($M28)+L29*N($M29)+L30*N($M30)+L31*N($M31)+L32*N($M32)))</f>
        <v>захищені</v>
      </c>
      <c r="M18" s="135"/>
    </row>
    <row r="19" spans="1:13" ht="14.25" customHeight="1" thickTop="1">
      <c r="A19" s="115" t="s">
        <v>36</v>
      </c>
      <c r="B19" s="116" t="s">
        <v>58</v>
      </c>
      <c r="C19" s="116"/>
      <c r="D19" s="113"/>
      <c r="E19" s="44"/>
      <c r="F19" s="45"/>
      <c r="G19" s="43"/>
      <c r="H19" s="44"/>
      <c r="I19" s="45"/>
      <c r="J19" s="46"/>
      <c r="K19" s="47"/>
      <c r="L19" s="48"/>
      <c r="M19" s="135"/>
    </row>
    <row r="20" spans="1:13" ht="11.25">
      <c r="A20" s="117" t="s">
        <v>4</v>
      </c>
      <c r="B20" s="118">
        <v>5</v>
      </c>
      <c r="C20" s="118">
        <v>10</v>
      </c>
      <c r="D20" s="119">
        <v>336.54</v>
      </c>
      <c r="E20" s="119">
        <v>504.9</v>
      </c>
      <c r="F20" s="119">
        <v>706.86</v>
      </c>
      <c r="G20" s="119">
        <v>201.96</v>
      </c>
      <c r="H20" s="119">
        <v>370.26</v>
      </c>
      <c r="I20" s="119">
        <v>572.22</v>
      </c>
      <c r="J20" s="119">
        <v>168.3</v>
      </c>
      <c r="K20" s="119">
        <v>336.6</v>
      </c>
      <c r="L20" s="119">
        <v>504.9</v>
      </c>
      <c r="M20" s="114">
        <f>IF(AND($C$18&gt;=B20,$C$18&lt;=C20),$C$18,"")</f>
      </c>
    </row>
    <row r="21" spans="1:13" ht="11.25">
      <c r="A21" s="117" t="s">
        <v>5</v>
      </c>
      <c r="B21" s="118">
        <v>11</v>
      </c>
      <c r="C21" s="118">
        <v>24</v>
      </c>
      <c r="D21" s="120">
        <v>285.54</v>
      </c>
      <c r="E21" s="120">
        <v>428.4</v>
      </c>
      <c r="F21" s="120">
        <v>599.76</v>
      </c>
      <c r="G21" s="120">
        <v>171.36</v>
      </c>
      <c r="H21" s="120">
        <v>314.16</v>
      </c>
      <c r="I21" s="120">
        <v>485.52</v>
      </c>
      <c r="J21" s="120">
        <v>142.8</v>
      </c>
      <c r="K21" s="120">
        <v>285.6</v>
      </c>
      <c r="L21" s="120">
        <v>428.4</v>
      </c>
      <c r="M21" s="114">
        <f aca="true" t="shared" si="1" ref="M21:M31">IF(AND($C$18&gt;=B21,$C$18&lt;=C21),$C$18,"")</f>
      </c>
    </row>
    <row r="22" spans="1:13" ht="11.25">
      <c r="A22" s="117" t="s">
        <v>6</v>
      </c>
      <c r="B22" s="118">
        <v>25</v>
      </c>
      <c r="C22" s="118">
        <v>49</v>
      </c>
      <c r="D22" s="120">
        <v>244.74</v>
      </c>
      <c r="E22" s="120">
        <v>367.2</v>
      </c>
      <c r="F22" s="120">
        <v>514.08</v>
      </c>
      <c r="G22" s="120">
        <v>146.88</v>
      </c>
      <c r="H22" s="120">
        <v>269.28</v>
      </c>
      <c r="I22" s="120">
        <v>416.16</v>
      </c>
      <c r="J22" s="120">
        <v>122.4</v>
      </c>
      <c r="K22" s="120">
        <v>244.8</v>
      </c>
      <c r="L22" s="120">
        <v>367.2</v>
      </c>
      <c r="M22" s="114">
        <f t="shared" si="1"/>
      </c>
    </row>
    <row r="23" spans="1:13" ht="11.25">
      <c r="A23" s="117" t="s">
        <v>7</v>
      </c>
      <c r="B23" s="118">
        <v>50</v>
      </c>
      <c r="C23" s="118">
        <v>99</v>
      </c>
      <c r="D23" s="120">
        <v>224.34</v>
      </c>
      <c r="E23" s="120">
        <v>336.6</v>
      </c>
      <c r="F23" s="120">
        <v>471.24</v>
      </c>
      <c r="G23" s="120">
        <v>134.64</v>
      </c>
      <c r="H23" s="120">
        <v>246.84</v>
      </c>
      <c r="I23" s="120">
        <v>381.48</v>
      </c>
      <c r="J23" s="120">
        <v>112.2</v>
      </c>
      <c r="K23" s="120">
        <v>224.4</v>
      </c>
      <c r="L23" s="120">
        <v>336.6</v>
      </c>
      <c r="M23" s="114">
        <f t="shared" si="1"/>
      </c>
    </row>
    <row r="24" spans="1:13" ht="11.25">
      <c r="A24" s="117" t="s">
        <v>8</v>
      </c>
      <c r="B24" s="118">
        <v>100</v>
      </c>
      <c r="C24" s="118">
        <v>249</v>
      </c>
      <c r="D24" s="120">
        <v>214.14</v>
      </c>
      <c r="E24" s="120">
        <v>321.3</v>
      </c>
      <c r="F24" s="120">
        <v>449.82</v>
      </c>
      <c r="G24" s="120">
        <v>128.52</v>
      </c>
      <c r="H24" s="120">
        <v>235.62</v>
      </c>
      <c r="I24" s="120">
        <v>364.14</v>
      </c>
      <c r="J24" s="120">
        <v>107.1</v>
      </c>
      <c r="K24" s="120">
        <v>214.2</v>
      </c>
      <c r="L24" s="120">
        <v>321.3</v>
      </c>
      <c r="M24" s="114">
        <f t="shared" si="1"/>
      </c>
    </row>
    <row r="25" spans="1:13" ht="11.25">
      <c r="A25" s="117" t="s">
        <v>9</v>
      </c>
      <c r="B25" s="118">
        <v>250</v>
      </c>
      <c r="C25" s="118">
        <v>499</v>
      </c>
      <c r="D25" s="120">
        <v>193.74</v>
      </c>
      <c r="E25" s="120">
        <v>290.7</v>
      </c>
      <c r="F25" s="120">
        <v>406.98</v>
      </c>
      <c r="G25" s="120">
        <v>116.28</v>
      </c>
      <c r="H25" s="120">
        <v>213.18</v>
      </c>
      <c r="I25" s="120">
        <v>329.46</v>
      </c>
      <c r="J25" s="120">
        <v>96.9</v>
      </c>
      <c r="K25" s="120">
        <v>193.8</v>
      </c>
      <c r="L25" s="120">
        <v>290.7</v>
      </c>
      <c r="M25" s="114">
        <f t="shared" si="1"/>
      </c>
    </row>
    <row r="26" spans="1:13" ht="11.25">
      <c r="A26" s="117" t="s">
        <v>10</v>
      </c>
      <c r="B26" s="118">
        <v>500</v>
      </c>
      <c r="C26" s="118">
        <v>999</v>
      </c>
      <c r="D26" s="120">
        <v>163.14</v>
      </c>
      <c r="E26" s="120">
        <v>244.8</v>
      </c>
      <c r="F26" s="120">
        <v>342.72</v>
      </c>
      <c r="G26" s="120">
        <v>97.92</v>
      </c>
      <c r="H26" s="120">
        <v>179.52</v>
      </c>
      <c r="I26" s="120">
        <v>277.44</v>
      </c>
      <c r="J26" s="120">
        <v>81.6</v>
      </c>
      <c r="K26" s="120">
        <v>163.2</v>
      </c>
      <c r="L26" s="120">
        <v>244.8</v>
      </c>
      <c r="M26" s="114">
        <f t="shared" si="1"/>
      </c>
    </row>
    <row r="27" spans="1:13" ht="11.25">
      <c r="A27" s="117" t="s">
        <v>11</v>
      </c>
      <c r="B27" s="118">
        <v>1000</v>
      </c>
      <c r="C27" s="118">
        <v>1999</v>
      </c>
      <c r="D27" s="120">
        <v>142.74</v>
      </c>
      <c r="E27" s="120">
        <v>214.2</v>
      </c>
      <c r="F27" s="120">
        <v>299.88</v>
      </c>
      <c r="G27" s="120">
        <v>85.68</v>
      </c>
      <c r="H27" s="120">
        <v>157.08</v>
      </c>
      <c r="I27" s="120">
        <v>242.76</v>
      </c>
      <c r="J27" s="120">
        <v>71.4</v>
      </c>
      <c r="K27" s="120">
        <v>142.8</v>
      </c>
      <c r="L27" s="120">
        <v>214.2</v>
      </c>
      <c r="M27" s="114">
        <f t="shared" si="1"/>
      </c>
    </row>
    <row r="28" spans="1:13" ht="11.25">
      <c r="A28" s="117" t="s">
        <v>12</v>
      </c>
      <c r="B28" s="118">
        <v>2000</v>
      </c>
      <c r="C28" s="118">
        <v>4999</v>
      </c>
      <c r="D28" s="120">
        <v>132.54</v>
      </c>
      <c r="E28" s="120">
        <v>198.9</v>
      </c>
      <c r="F28" s="120">
        <v>278.46</v>
      </c>
      <c r="G28" s="120">
        <v>79.56</v>
      </c>
      <c r="H28" s="120">
        <v>145.86</v>
      </c>
      <c r="I28" s="120">
        <v>225.42</v>
      </c>
      <c r="J28" s="120">
        <v>66.3</v>
      </c>
      <c r="K28" s="120">
        <v>132.6</v>
      </c>
      <c r="L28" s="120">
        <v>198.9</v>
      </c>
      <c r="M28" s="114">
        <f t="shared" si="1"/>
      </c>
    </row>
    <row r="29" spans="1:13" ht="11.25">
      <c r="A29" s="117" t="s">
        <v>13</v>
      </c>
      <c r="B29" s="118">
        <v>5000</v>
      </c>
      <c r="C29" s="118">
        <v>9999</v>
      </c>
      <c r="D29" s="120">
        <v>122.34</v>
      </c>
      <c r="E29" s="120">
        <v>183.6</v>
      </c>
      <c r="F29" s="120">
        <v>257.04</v>
      </c>
      <c r="G29" s="120">
        <v>73.44</v>
      </c>
      <c r="H29" s="120">
        <v>134.64</v>
      </c>
      <c r="I29" s="120">
        <v>208.08</v>
      </c>
      <c r="J29" s="120">
        <v>61.2</v>
      </c>
      <c r="K29" s="120">
        <v>122.4</v>
      </c>
      <c r="L29" s="120">
        <v>183.6</v>
      </c>
      <c r="M29" s="114">
        <f t="shared" si="1"/>
      </c>
    </row>
    <row r="30" spans="1:13" ht="11.25">
      <c r="A30" s="117" t="s">
        <v>14</v>
      </c>
      <c r="B30" s="118">
        <v>10000</v>
      </c>
      <c r="C30" s="118">
        <v>24999</v>
      </c>
      <c r="D30" s="120">
        <v>112.14</v>
      </c>
      <c r="E30" s="120">
        <v>168.3</v>
      </c>
      <c r="F30" s="120">
        <v>235.62</v>
      </c>
      <c r="G30" s="120">
        <v>67.32</v>
      </c>
      <c r="H30" s="120">
        <v>123.42</v>
      </c>
      <c r="I30" s="120">
        <v>190.74</v>
      </c>
      <c r="J30" s="120">
        <v>56.1</v>
      </c>
      <c r="K30" s="120">
        <v>112.2</v>
      </c>
      <c r="L30" s="120">
        <v>168.3</v>
      </c>
      <c r="M30" s="114">
        <f t="shared" si="1"/>
      </c>
    </row>
    <row r="31" spans="1:13" ht="11.25">
      <c r="A31" s="117" t="s">
        <v>15</v>
      </c>
      <c r="B31" s="118">
        <v>25000</v>
      </c>
      <c r="C31" s="118">
        <v>49999</v>
      </c>
      <c r="D31" s="120">
        <v>101.94</v>
      </c>
      <c r="E31" s="120">
        <v>153</v>
      </c>
      <c r="F31" s="120">
        <v>214.2</v>
      </c>
      <c r="G31" s="120">
        <v>61.2</v>
      </c>
      <c r="H31" s="120">
        <v>112.2</v>
      </c>
      <c r="I31" s="120">
        <v>173.4</v>
      </c>
      <c r="J31" s="120">
        <v>51</v>
      </c>
      <c r="K31" s="120">
        <v>102</v>
      </c>
      <c r="L31" s="120">
        <v>153</v>
      </c>
      <c r="M31" s="114">
        <f t="shared" si="1"/>
      </c>
    </row>
    <row r="32" spans="1:13" ht="11.25">
      <c r="A32" s="117" t="s">
        <v>16</v>
      </c>
      <c r="B32" s="118">
        <v>50000</v>
      </c>
      <c r="C32" s="118"/>
      <c r="D32" s="120">
        <v>91.74</v>
      </c>
      <c r="E32" s="120">
        <v>137.7</v>
      </c>
      <c r="F32" s="120">
        <v>192.78</v>
      </c>
      <c r="G32" s="120">
        <v>55.08</v>
      </c>
      <c r="H32" s="120">
        <v>100.98</v>
      </c>
      <c r="I32" s="120">
        <v>156.06</v>
      </c>
      <c r="J32" s="120">
        <v>45.9</v>
      </c>
      <c r="K32" s="120">
        <v>91.8</v>
      </c>
      <c r="L32" s="120">
        <v>137.7</v>
      </c>
      <c r="M32" s="114">
        <f>IF($C$18&gt;=B32,$C$18,"")</f>
      </c>
    </row>
  </sheetData>
  <sheetProtection password="D62B" sheet="1" objects="1" scenarios="1"/>
  <mergeCells count="42">
    <mergeCell ref="D14:H14"/>
    <mergeCell ref="I14:J14"/>
    <mergeCell ref="K18:K19"/>
    <mergeCell ref="L18:L19"/>
    <mergeCell ref="B19:C19"/>
    <mergeCell ref="G18:G19"/>
    <mergeCell ref="H18:H19"/>
    <mergeCell ref="I18:I19"/>
    <mergeCell ref="J18:J19"/>
    <mergeCell ref="A18:B18"/>
    <mergeCell ref="D18:D19"/>
    <mergeCell ref="E18:E19"/>
    <mergeCell ref="F18:F19"/>
    <mergeCell ref="K5:K6"/>
    <mergeCell ref="L5:L6"/>
    <mergeCell ref="B6:C6"/>
    <mergeCell ref="A14:C14"/>
    <mergeCell ref="K14:L14"/>
    <mergeCell ref="A13:L13"/>
    <mergeCell ref="G5:G6"/>
    <mergeCell ref="H5:H6"/>
    <mergeCell ref="I5:I6"/>
    <mergeCell ref="J5:J6"/>
    <mergeCell ref="A5:B5"/>
    <mergeCell ref="D5:D6"/>
    <mergeCell ref="E5:E6"/>
    <mergeCell ref="F5:F6"/>
    <mergeCell ref="A2:C4"/>
    <mergeCell ref="D2:I2"/>
    <mergeCell ref="J2:L2"/>
    <mergeCell ref="D3:F3"/>
    <mergeCell ref="G3:I3"/>
    <mergeCell ref="J3:L3"/>
    <mergeCell ref="A1:C1"/>
    <mergeCell ref="K1:L1"/>
    <mergeCell ref="D1:H1"/>
    <mergeCell ref="A15:C17"/>
    <mergeCell ref="D15:I15"/>
    <mergeCell ref="J15:L15"/>
    <mergeCell ref="D16:F16"/>
    <mergeCell ref="G16:I16"/>
    <mergeCell ref="J16:L16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1200" verticalDpi="12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outlinePr summaryBelow="0"/>
  </sheetPr>
  <dimension ref="A1:P20"/>
  <sheetViews>
    <sheetView workbookViewId="0" topLeftCell="A1">
      <selection activeCell="C5" sqref="C5"/>
    </sheetView>
  </sheetViews>
  <sheetFormatPr defaultColWidth="9.00390625" defaultRowHeight="12.75"/>
  <cols>
    <col min="1" max="3" width="9.75390625" style="51" customWidth="1"/>
    <col min="4" max="12" width="13.75390625" style="51" customWidth="1"/>
    <col min="13" max="13" width="1.25" style="140" bestFit="1" customWidth="1"/>
    <col min="14" max="16384" width="9.125" style="51" customWidth="1"/>
  </cols>
  <sheetData>
    <row r="1" spans="1:13" s="111" customFormat="1" ht="84.75" customHeight="1" thickBot="1">
      <c r="A1" s="30"/>
      <c r="B1" s="30"/>
      <c r="C1" s="30"/>
      <c r="D1" s="31" t="s">
        <v>73</v>
      </c>
      <c r="E1" s="122"/>
      <c r="F1" s="122"/>
      <c r="G1" s="122"/>
      <c r="H1" s="122"/>
      <c r="I1" s="121">
        <f>CONCATENATE(IF(C5=10,"див. для
11 ПК",""),IF(AND(C5&gt;=22,C5&lt;=24),"див. для
25 ПК",""),IF(AND(C5&gt;=92,C5&lt;=99),"див. для
100 ПК",""),IF(AND(C5&gt;=224,C5&lt;=249),"див. для
250 ПК",""),IF(AND(C5&gt;=412,C5&lt;=499),"див. для
500 ПК",""),IF(AND(C5&gt;=834,C5&lt;=999),"див. для
1000 ПК",""),IF(AND(C5&gt;=1834,C5&lt;=1999),"див. для
2000 ПК",""),IF(AND(C5&gt;=4546,C5&lt;=4999),"див. для
5000 ПК",""),IF(AND(C5&gt;=9000,C5&lt;=9999),"див. для
10000 ПК",""),IF(AND(C5&gt;=22058,C5&lt;=24999),"див. для
25000 ПК",""),IF(AND(C5&gt;=43743,C5&lt;=49999),"див. для
50000 ПК",""))</f>
      </c>
      <c r="J1" s="121"/>
      <c r="K1" s="81" t="s">
        <v>50</v>
      </c>
      <c r="L1" s="80"/>
      <c r="M1" s="132" t="s">
        <v>22</v>
      </c>
    </row>
    <row r="2" spans="1:13" s="95" customFormat="1" ht="21" customHeight="1">
      <c r="A2" s="90" t="s">
        <v>60</v>
      </c>
      <c r="B2" s="28"/>
      <c r="C2" s="29"/>
      <c r="D2" s="96" t="s">
        <v>34</v>
      </c>
      <c r="E2" s="97"/>
      <c r="F2" s="97"/>
      <c r="G2" s="97"/>
      <c r="H2" s="97"/>
      <c r="I2" s="98"/>
      <c r="J2" s="99" t="s">
        <v>32</v>
      </c>
      <c r="K2" s="100"/>
      <c r="L2" s="101"/>
      <c r="M2" s="132"/>
    </row>
    <row r="3" spans="1:13" s="95" customFormat="1" ht="30">
      <c r="A3" s="11"/>
      <c r="B3" s="9"/>
      <c r="C3" s="10"/>
      <c r="D3" s="102" t="s">
        <v>30</v>
      </c>
      <c r="E3" s="103"/>
      <c r="F3" s="104"/>
      <c r="G3" s="14" t="s">
        <v>31</v>
      </c>
      <c r="H3" s="15"/>
      <c r="I3" s="16"/>
      <c r="J3" s="17" t="s">
        <v>54</v>
      </c>
      <c r="K3" s="18"/>
      <c r="L3" s="19"/>
      <c r="M3" s="133" t="s">
        <v>17</v>
      </c>
    </row>
    <row r="4" spans="1:13" s="95" customFormat="1" ht="19.5" thickBot="1">
      <c r="A4" s="12"/>
      <c r="B4" s="13"/>
      <c r="C4" s="10"/>
      <c r="D4" s="5" t="s">
        <v>18</v>
      </c>
      <c r="E4" s="6" t="s">
        <v>19</v>
      </c>
      <c r="F4" s="7" t="s">
        <v>20</v>
      </c>
      <c r="G4" s="5" t="s">
        <v>18</v>
      </c>
      <c r="H4" s="6" t="s">
        <v>19</v>
      </c>
      <c r="I4" s="7" t="s">
        <v>20</v>
      </c>
      <c r="J4" s="1" t="s">
        <v>18</v>
      </c>
      <c r="K4" s="2" t="s">
        <v>19</v>
      </c>
      <c r="L4" s="3" t="s">
        <v>20</v>
      </c>
      <c r="M4" s="134"/>
    </row>
    <row r="5" spans="1:13" s="95" customFormat="1" ht="27.75" thickBot="1" thickTop="1">
      <c r="A5" s="105" t="s">
        <v>69</v>
      </c>
      <c r="B5" s="106"/>
      <c r="C5" s="138"/>
      <c r="D5" s="123" t="str">
        <f>IF($C$5=0,"&lt;- зазначте",D6*N($M6))</f>
        <v>&lt;- зазначте</v>
      </c>
      <c r="E5" s="124" t="str">
        <f>IF($C$5=0,"СУМАРНУ",E6*N($M6))</f>
        <v>СУМАРНУ</v>
      </c>
      <c r="F5" s="125" t="str">
        <f>IF($C$5=0,"кількість",F6*N($M6))</f>
        <v>кількість</v>
      </c>
      <c r="G5" s="126" t="str">
        <f>IF($C$5=0,"пристроїв,",G6*N($M6))</f>
        <v>пристроїв,</v>
      </c>
      <c r="H5" s="124" t="str">
        <f>IF($C$5=0,"які мають",H6*N($M6))</f>
        <v>які мають</v>
      </c>
      <c r="I5" s="125" t="str">
        <f>IF($C$5=0,"бути",I6*N($M6))</f>
        <v>бути</v>
      </c>
      <c r="J5" s="127" t="str">
        <f>IF($C$5=0,"захищені",J6*N($M6))</f>
        <v>захищені</v>
      </c>
      <c r="K5" s="128">
        <f>IF($C$5=0,"",K6*N($M6))</f>
      </c>
      <c r="L5" s="129">
        <f>IF($C$5=0,"",L6*N($M6))</f>
      </c>
      <c r="M5" s="135"/>
    </row>
    <row r="6" spans="1:13" s="95" customFormat="1" ht="12" thickTop="1">
      <c r="A6" s="130"/>
      <c r="B6" s="131"/>
      <c r="C6" s="139"/>
      <c r="D6" s="120">
        <v>254.52</v>
      </c>
      <c r="E6" s="120">
        <v>381.48</v>
      </c>
      <c r="F6" s="120">
        <v>534.48</v>
      </c>
      <c r="G6" s="120">
        <v>153</v>
      </c>
      <c r="H6" s="120">
        <v>279.48</v>
      </c>
      <c r="I6" s="120">
        <v>432.48</v>
      </c>
      <c r="J6" s="120">
        <v>127.5</v>
      </c>
      <c r="K6" s="120">
        <v>255</v>
      </c>
      <c r="L6" s="120">
        <v>381.48</v>
      </c>
      <c r="M6" s="114">
        <f>IF($C$5&gt;=1,$C$5,"")</f>
      </c>
    </row>
    <row r="7" spans="1:16" s="111" customFormat="1" ht="4.5">
      <c r="A7" s="8"/>
      <c r="B7" s="8"/>
      <c r="C7" s="8"/>
      <c r="D7" s="86"/>
      <c r="E7" s="86"/>
      <c r="F7" s="86"/>
      <c r="G7" s="86"/>
      <c r="H7" s="86"/>
      <c r="I7" s="86"/>
      <c r="J7" s="86"/>
      <c r="K7" s="86"/>
      <c r="L7" s="86"/>
      <c r="M7" s="136"/>
      <c r="N7" s="110"/>
      <c r="O7" s="110"/>
      <c r="P7" s="110"/>
    </row>
    <row r="8" spans="1:13" s="111" customFormat="1" ht="84.75" customHeight="1" thickBot="1">
      <c r="A8" s="30"/>
      <c r="B8" s="30"/>
      <c r="C8" s="30"/>
      <c r="D8" s="31" t="s">
        <v>74</v>
      </c>
      <c r="E8" s="122"/>
      <c r="F8" s="122"/>
      <c r="G8" s="122"/>
      <c r="H8" s="122"/>
      <c r="I8" s="121">
        <f>CONCATENATE(IF(C12=10,"див. для
11 ПК",""),IF(AND(C12&gt;=22,C12&lt;=24),"див. для
25 ПК",""),IF(AND(C12&gt;=92,C12&lt;=99),"див. для
100 ПК",""),IF(AND(C12&gt;=224,C12&lt;=249),"див. для
250 ПК",""),IF(AND(C12&gt;=412,C12&lt;=499),"див. для
500 ПК",""),IF(AND(C12&gt;=834,C12&lt;=999),"див. для
1000 ПК",""),IF(AND(C12&gt;=1834,C12&lt;=1999),"див. для
2000 ПК",""),IF(AND(C12&gt;=4546,C12&lt;=4999),"див. для
5000 ПК",""),IF(AND(C12&gt;=9000,C12&lt;=9999),"див. для
10000 ПК",""),IF(AND(C12&gt;=22058,C12&lt;=24999),"див. для
25000 ПК",""),IF(AND(C12&gt;=43743,C12&lt;=49999),"див. для
50000 ПК",""))</f>
      </c>
      <c r="J8" s="121"/>
      <c r="K8" s="81" t="s">
        <v>50</v>
      </c>
      <c r="L8" s="80"/>
      <c r="M8" s="132" t="s">
        <v>22</v>
      </c>
    </row>
    <row r="9" spans="1:13" s="95" customFormat="1" ht="21" customHeight="1">
      <c r="A9" s="90" t="s">
        <v>60</v>
      </c>
      <c r="B9" s="28"/>
      <c r="C9" s="29"/>
      <c r="D9" s="96" t="s">
        <v>34</v>
      </c>
      <c r="E9" s="97"/>
      <c r="F9" s="97"/>
      <c r="G9" s="97"/>
      <c r="H9" s="97"/>
      <c r="I9" s="98"/>
      <c r="J9" s="99" t="s">
        <v>32</v>
      </c>
      <c r="K9" s="100"/>
      <c r="L9" s="101"/>
      <c r="M9" s="132"/>
    </row>
    <row r="10" spans="1:13" s="95" customFormat="1" ht="30">
      <c r="A10" s="11"/>
      <c r="B10" s="9"/>
      <c r="C10" s="10"/>
      <c r="D10" s="102" t="s">
        <v>30</v>
      </c>
      <c r="E10" s="103"/>
      <c r="F10" s="104"/>
      <c r="G10" s="14" t="s">
        <v>31</v>
      </c>
      <c r="H10" s="15"/>
      <c r="I10" s="16"/>
      <c r="J10" s="17" t="s">
        <v>54</v>
      </c>
      <c r="K10" s="18"/>
      <c r="L10" s="19"/>
      <c r="M10" s="133" t="s">
        <v>17</v>
      </c>
    </row>
    <row r="11" spans="1:13" s="95" customFormat="1" ht="19.5" thickBot="1">
      <c r="A11" s="12"/>
      <c r="B11" s="13"/>
      <c r="C11" s="10"/>
      <c r="D11" s="5" t="s">
        <v>18</v>
      </c>
      <c r="E11" s="6" t="s">
        <v>19</v>
      </c>
      <c r="F11" s="7" t="s">
        <v>20</v>
      </c>
      <c r="G11" s="5" t="s">
        <v>18</v>
      </c>
      <c r="H11" s="6" t="s">
        <v>19</v>
      </c>
      <c r="I11" s="7" t="s">
        <v>20</v>
      </c>
      <c r="J11" s="1" t="s">
        <v>18</v>
      </c>
      <c r="K11" s="2" t="s">
        <v>19</v>
      </c>
      <c r="L11" s="3" t="s">
        <v>20</v>
      </c>
      <c r="M11" s="134"/>
    </row>
    <row r="12" spans="1:13" s="95" customFormat="1" ht="27.75" thickBot="1" thickTop="1">
      <c r="A12" s="105" t="s">
        <v>69</v>
      </c>
      <c r="B12" s="106"/>
      <c r="C12" s="138"/>
      <c r="D12" s="123" t="str">
        <f>IF($C$12=0,"&lt;- зазначте",D13*N($M13))</f>
        <v>&lt;- зазначте</v>
      </c>
      <c r="E12" s="124" t="str">
        <f>IF($C$12=0,"СУМАРНУ",E13*N($M13))</f>
        <v>СУМАРНУ</v>
      </c>
      <c r="F12" s="125" t="str">
        <f>IF($C$12=0,"кількість",F13*N($M13))</f>
        <v>кількість</v>
      </c>
      <c r="G12" s="126" t="str">
        <f>IF($C$12=0,"пристроїв,",G13*N($M13))</f>
        <v>пристроїв,</v>
      </c>
      <c r="H12" s="124" t="str">
        <f>IF($C$12=0,"які мають",H13*N($M13))</f>
        <v>які мають</v>
      </c>
      <c r="I12" s="125" t="str">
        <f>IF($C$12=0,"бути",I13*N($M13))</f>
        <v>бути</v>
      </c>
      <c r="J12" s="127" t="str">
        <f>IF($C$12=0,"захищені",J13*N($M13))</f>
        <v>захищені</v>
      </c>
      <c r="K12" s="128">
        <f>IF($C$12=0,"",K13*N($M13))</f>
      </c>
      <c r="L12" s="129">
        <f>IF($C$12=0,"",L13*N($M13))</f>
      </c>
      <c r="M12" s="135"/>
    </row>
    <row r="13" spans="1:13" s="95" customFormat="1" ht="12" thickTop="1">
      <c r="A13" s="130"/>
      <c r="B13" s="131"/>
      <c r="C13" s="139"/>
      <c r="D13" s="120">
        <v>101.52</v>
      </c>
      <c r="E13" s="120">
        <v>151.98</v>
      </c>
      <c r="F13" s="120">
        <v>213.18</v>
      </c>
      <c r="G13" s="120">
        <v>101.52</v>
      </c>
      <c r="H13" s="120">
        <v>151.98</v>
      </c>
      <c r="I13" s="120">
        <v>213.18</v>
      </c>
      <c r="J13" s="120">
        <v>51</v>
      </c>
      <c r="K13" s="120">
        <v>102</v>
      </c>
      <c r="L13" s="120">
        <v>151.98</v>
      </c>
      <c r="M13" s="114">
        <f>IF($C$12&gt;=1,$C$12,"")</f>
      </c>
    </row>
    <row r="14" spans="1:16" s="111" customFormat="1" ht="4.5">
      <c r="A14" s="8"/>
      <c r="B14" s="8"/>
      <c r="C14" s="8"/>
      <c r="D14" s="86"/>
      <c r="E14" s="86"/>
      <c r="F14" s="86"/>
      <c r="G14" s="86"/>
      <c r="H14" s="86"/>
      <c r="I14" s="86"/>
      <c r="J14" s="86"/>
      <c r="K14" s="86"/>
      <c r="L14" s="86"/>
      <c r="M14" s="136"/>
      <c r="N14" s="110"/>
      <c r="O14" s="110"/>
      <c r="P14" s="110"/>
    </row>
    <row r="15" spans="1:13" s="111" customFormat="1" ht="84.75" customHeight="1" thickBot="1">
      <c r="A15" s="30"/>
      <c r="B15" s="30"/>
      <c r="C15" s="30"/>
      <c r="D15" s="31" t="s">
        <v>75</v>
      </c>
      <c r="E15" s="122"/>
      <c r="F15" s="122"/>
      <c r="G15" s="122"/>
      <c r="H15" s="122"/>
      <c r="I15" s="121">
        <f>CONCATENATE(IF(C19=10,"див. для
11 ПК",""),IF(AND(C19&gt;=22,C19&lt;=24),"див. для
25 ПК",""),IF(AND(C19&gt;=92,C19&lt;=99),"див. для
100 ПК",""),IF(AND(C19&gt;=224,C19&lt;=249),"див. для
250 ПК",""),IF(AND(C19&gt;=412,C19&lt;=499),"див. для
500 ПК",""),IF(AND(C19&gt;=834,C19&lt;=999),"див. для
1000 ПК",""),IF(AND(C19&gt;=1834,C19&lt;=1999),"див. для
2000 ПК",""),IF(AND(C19&gt;=4546,C19&lt;=4999),"див. для
5000 ПК",""),IF(AND(C19&gt;=9000,C19&lt;=9999),"див. для
10000 ПК",""),IF(AND(C19&gt;=22058,C19&lt;=24999),"див. для
25000 ПК",""),IF(AND(C19&gt;=43743,C19&lt;=49999),"див. для
50000 ПК",""))</f>
      </c>
      <c r="J15" s="121"/>
      <c r="K15" s="81" t="s">
        <v>50</v>
      </c>
      <c r="L15" s="80"/>
      <c r="M15" s="132" t="s">
        <v>22</v>
      </c>
    </row>
    <row r="16" spans="1:13" s="95" customFormat="1" ht="21" customHeight="1">
      <c r="A16" s="90" t="s">
        <v>60</v>
      </c>
      <c r="B16" s="28"/>
      <c r="C16" s="29"/>
      <c r="D16" s="96" t="s">
        <v>34</v>
      </c>
      <c r="E16" s="97"/>
      <c r="F16" s="97"/>
      <c r="G16" s="97"/>
      <c r="H16" s="97"/>
      <c r="I16" s="98"/>
      <c r="J16" s="99" t="s">
        <v>32</v>
      </c>
      <c r="K16" s="100"/>
      <c r="L16" s="101"/>
      <c r="M16" s="132"/>
    </row>
    <row r="17" spans="1:13" s="95" customFormat="1" ht="30">
      <c r="A17" s="11"/>
      <c r="B17" s="9"/>
      <c r="C17" s="10"/>
      <c r="D17" s="102" t="s">
        <v>30</v>
      </c>
      <c r="E17" s="103"/>
      <c r="F17" s="104"/>
      <c r="G17" s="14" t="s">
        <v>31</v>
      </c>
      <c r="H17" s="15"/>
      <c r="I17" s="16"/>
      <c r="J17" s="17" t="s">
        <v>54</v>
      </c>
      <c r="K17" s="18"/>
      <c r="L17" s="19"/>
      <c r="M17" s="133" t="s">
        <v>17</v>
      </c>
    </row>
    <row r="18" spans="1:13" s="95" customFormat="1" ht="19.5" thickBot="1">
      <c r="A18" s="12"/>
      <c r="B18" s="13"/>
      <c r="C18" s="10"/>
      <c r="D18" s="5" t="s">
        <v>18</v>
      </c>
      <c r="E18" s="6" t="s">
        <v>19</v>
      </c>
      <c r="F18" s="7" t="s">
        <v>20</v>
      </c>
      <c r="G18" s="5" t="s">
        <v>18</v>
      </c>
      <c r="H18" s="6" t="s">
        <v>19</v>
      </c>
      <c r="I18" s="7" t="s">
        <v>20</v>
      </c>
      <c r="J18" s="1" t="s">
        <v>18</v>
      </c>
      <c r="K18" s="2" t="s">
        <v>19</v>
      </c>
      <c r="L18" s="3" t="s">
        <v>20</v>
      </c>
      <c r="M18" s="134"/>
    </row>
    <row r="19" spans="1:13" s="95" customFormat="1" ht="27.75" thickBot="1" thickTop="1">
      <c r="A19" s="105" t="s">
        <v>69</v>
      </c>
      <c r="B19" s="106"/>
      <c r="C19" s="138"/>
      <c r="D19" s="123" t="str">
        <f>IF($C$19=0,"&lt;- зазначте",D20*N($M20))</f>
        <v>&lt;- зазначте</v>
      </c>
      <c r="E19" s="124" t="str">
        <f>IF($C$19=0,"СУМАРНУ",E20*N($M20))</f>
        <v>СУМАРНУ</v>
      </c>
      <c r="F19" s="125" t="str">
        <f>IF($C$19=0,"кількість",F20*N($M20))</f>
        <v>кількість</v>
      </c>
      <c r="G19" s="126" t="str">
        <f>IF($C$19=0,"пристроїв,",G20*N($M20))</f>
        <v>пристроїв,</v>
      </c>
      <c r="H19" s="124" t="str">
        <f>IF($C$19=0,"які мають",H20*N($M20))</f>
        <v>які мають</v>
      </c>
      <c r="I19" s="125" t="str">
        <f>IF($C$19=0,"бути",I20*N($M20))</f>
        <v>бути</v>
      </c>
      <c r="J19" s="127" t="str">
        <f>IF($C$19=0,"захищені",J20*N($M20))</f>
        <v>захищені</v>
      </c>
      <c r="K19" s="128">
        <f>IF($C$19=0,"",K20*N($M20))</f>
      </c>
      <c r="L19" s="129">
        <f>IF($C$19=0,"",L20*N($M20))</f>
      </c>
      <c r="M19" s="135"/>
    </row>
    <row r="20" spans="1:13" s="95" customFormat="1" ht="12" thickTop="1">
      <c r="A20" s="130"/>
      <c r="B20" s="131"/>
      <c r="C20" s="139"/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14">
        <f>IF($C$19&gt;=1,$C$19,"")</f>
      </c>
    </row>
  </sheetData>
  <sheetProtection password="D62B" sheet="1" objects="1" scenarios="1"/>
  <mergeCells count="35">
    <mergeCell ref="A19:B19"/>
    <mergeCell ref="A16:C18"/>
    <mergeCell ref="D16:I16"/>
    <mergeCell ref="J16:L16"/>
    <mergeCell ref="D17:F17"/>
    <mergeCell ref="G17:I17"/>
    <mergeCell ref="J17:L17"/>
    <mergeCell ref="A14:L14"/>
    <mergeCell ref="A15:C15"/>
    <mergeCell ref="D15:H15"/>
    <mergeCell ref="I15:J15"/>
    <mergeCell ref="K15:L15"/>
    <mergeCell ref="A7:L7"/>
    <mergeCell ref="A12:B12"/>
    <mergeCell ref="A9:C11"/>
    <mergeCell ref="D9:I9"/>
    <mergeCell ref="J9:L9"/>
    <mergeCell ref="D10:F10"/>
    <mergeCell ref="G10:I10"/>
    <mergeCell ref="J10:L10"/>
    <mergeCell ref="A8:C8"/>
    <mergeCell ref="D8:H8"/>
    <mergeCell ref="I8:J8"/>
    <mergeCell ref="K8:L8"/>
    <mergeCell ref="K1:L1"/>
    <mergeCell ref="D1:H1"/>
    <mergeCell ref="I1:J1"/>
    <mergeCell ref="A1:C1"/>
    <mergeCell ref="J2:L2"/>
    <mergeCell ref="D3:F3"/>
    <mergeCell ref="G3:I3"/>
    <mergeCell ref="J3:L3"/>
    <mergeCell ref="A2:C4"/>
    <mergeCell ref="D2:I2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outlinePr summaryBelow="0"/>
  </sheetPr>
  <dimension ref="A1:M19"/>
  <sheetViews>
    <sheetView workbookViewId="0" topLeftCell="A1">
      <selection activeCell="C5" sqref="C5"/>
    </sheetView>
  </sheetViews>
  <sheetFormatPr defaultColWidth="9.00390625" defaultRowHeight="12.75"/>
  <cols>
    <col min="1" max="3" width="9.75390625" style="51" customWidth="1"/>
    <col min="4" max="12" width="13.75390625" style="51" customWidth="1"/>
    <col min="13" max="13" width="1.25" style="140" bestFit="1" customWidth="1"/>
    <col min="14" max="16384" width="9.125" style="51" customWidth="1"/>
  </cols>
  <sheetData>
    <row r="1" spans="1:13" s="111" customFormat="1" ht="84.75" customHeight="1" thickBot="1">
      <c r="A1" s="34"/>
      <c r="B1" s="34"/>
      <c r="C1" s="34"/>
      <c r="D1" s="89" t="s">
        <v>51</v>
      </c>
      <c r="E1" s="89"/>
      <c r="F1" s="89"/>
      <c r="G1" s="89"/>
      <c r="H1" s="89"/>
      <c r="I1" s="88">
        <f>CONCATENATE(IF(C5=10,"див. для
11 ПК",""),IF(AND(C5&gt;=22,C5&lt;=24),"див. для
25 ПК",""),IF(AND(C5&gt;=92,C5&lt;=99),"див. для
100 ПК",""),IF(AND(C5&gt;=224,C5&lt;=249),"див. для
250 ПК",""),IF(AND(C5&gt;=412,C5&lt;=499),"див. для
500 ПК",""),IF(AND(C5&gt;=834,C5&lt;=999),"див. для
1000 ПК",""),IF(AND(C5&gt;=1834,C5&lt;=1999),"див. для
2000 ПК",""),IF(AND(C5&gt;=4546,C5&lt;=4999),"див. для
5000 ПК",""),IF(AND(C5&gt;=9000,C5&lt;=9999),"див. для
10000 ПК",""),IF(AND(C5&gt;=22058,C5&lt;=24999),"див. для
25000 ПК",""),IF(AND(C5&gt;=43743,C5&lt;=49999),"див. для
50000 ПК",""))</f>
      </c>
      <c r="J1" s="88"/>
      <c r="K1" s="33" t="s">
        <v>40</v>
      </c>
      <c r="L1" s="33"/>
      <c r="M1" s="132" t="s">
        <v>22</v>
      </c>
    </row>
    <row r="2" spans="1:13" s="95" customFormat="1" ht="21">
      <c r="A2" s="90" t="s">
        <v>53</v>
      </c>
      <c r="B2" s="28"/>
      <c r="C2" s="29"/>
      <c r="D2" s="96" t="s">
        <v>34</v>
      </c>
      <c r="E2" s="97"/>
      <c r="F2" s="97"/>
      <c r="G2" s="97"/>
      <c r="H2" s="97"/>
      <c r="I2" s="98"/>
      <c r="J2" s="99" t="s">
        <v>32</v>
      </c>
      <c r="K2" s="100"/>
      <c r="L2" s="101"/>
      <c r="M2" s="132"/>
    </row>
    <row r="3" spans="1:13" s="95" customFormat="1" ht="30">
      <c r="A3" s="11"/>
      <c r="B3" s="9"/>
      <c r="C3" s="10"/>
      <c r="D3" s="102" t="s">
        <v>30</v>
      </c>
      <c r="E3" s="103"/>
      <c r="F3" s="104"/>
      <c r="G3" s="14" t="s">
        <v>31</v>
      </c>
      <c r="H3" s="15"/>
      <c r="I3" s="16"/>
      <c r="J3" s="17" t="s">
        <v>54</v>
      </c>
      <c r="K3" s="18"/>
      <c r="L3" s="19"/>
      <c r="M3" s="133" t="s">
        <v>17</v>
      </c>
    </row>
    <row r="4" spans="1:13" s="95" customFormat="1" ht="19.5" thickBot="1">
      <c r="A4" s="12"/>
      <c r="B4" s="13"/>
      <c r="C4" s="10"/>
      <c r="D4" s="5" t="s">
        <v>18</v>
      </c>
      <c r="E4" s="6" t="s">
        <v>19</v>
      </c>
      <c r="F4" s="7" t="s">
        <v>20</v>
      </c>
      <c r="G4" s="5" t="s">
        <v>18</v>
      </c>
      <c r="H4" s="6" t="s">
        <v>19</v>
      </c>
      <c r="I4" s="7" t="s">
        <v>20</v>
      </c>
      <c r="J4" s="1" t="s">
        <v>18</v>
      </c>
      <c r="K4" s="2" t="s">
        <v>19</v>
      </c>
      <c r="L4" s="3" t="s">
        <v>20</v>
      </c>
      <c r="M4" s="134"/>
    </row>
    <row r="5" spans="1:13" s="95" customFormat="1" ht="27.75" thickBot="1" thickTop="1">
      <c r="A5" s="105" t="s">
        <v>52</v>
      </c>
      <c r="B5" s="106"/>
      <c r="C5" s="138"/>
      <c r="D5" s="112" t="str">
        <f>IF($C$5=0,"&lt;- зазначте",IF(N(SUM($M7:$M19))=0,"мінімальн",D7*N($M7)+D8*N($M8)+D9*N($M9)+D10*N($M10)+D11*N($M11)+D12*N($M12)+D13*N($M13)+D14*N($M14)+D15*N($M15)+D16*N($M16)+D17*N($M17)+D18*N($M18)+D19*N($M19)))</f>
        <v>&lt;- зазначте</v>
      </c>
      <c r="E5" s="38" t="str">
        <f>IF($C$5=0,"СУМАРНУ",IF(N(SUM($M7:$M19))=0,"а   кількість",E7*N($M7)+E8*N($M8)+E9*N($M9)+E10*N($M10)+E11*N($M11)+E12*N($M12)+E13*N($M13)+E14*N($M14)+E15*N($M15)+E16*N($M16)+E17*N($M17)+E18*N($M18)+E19*N($M19)))</f>
        <v>СУМАРНУ</v>
      </c>
      <c r="F5" s="39" t="str">
        <f>IF($C$5=0,"кількість",IF(N(SUM($M7:$M19))=0,"поштових",F7*N($M7)+F8*N($M8)+F9*N($M9)+F10*N($M10)+F11*N($M11)+F12*N($M12)+F13*N($M13)+F14*N($M14)+F15*N($M15)+F16*N($M16)+F17*N($M17)+F18*N($M18)+F19*N($M19)))</f>
        <v>кількість</v>
      </c>
      <c r="G5" s="37" t="str">
        <f>IF($C$5=0,"поштових",IF(N(SUM($M7:$M19))=0,"скриньок",G7*N($M7)+G8*N($M8)+G9*N($M9)+G10*N($M10)+G11*N($M11)+G12*N($M12)+G13*N($M13)+G14*N($M14)+G15*N($M15)+G16*N($M16)+G17*N($M17)+G18*N($M18)+G19*N($M19)))</f>
        <v>поштових</v>
      </c>
      <c r="H5" s="38" t="str">
        <f>IF($C$5=0,"скриньок,",IF(N(SUM($M7:$M19))=0,"має бути",H7*N($M7)+H8*N($M8)+H9*N($M9)+H10*N($M10)+H11*N($M11)+H12*N($M12)+H13*N($M13)+H14*N($M14)+H15*N($M15)+H16*N($M16)+H17*N($M17)+H18*N($M18)+H19*N($M19)))</f>
        <v>скриньок,</v>
      </c>
      <c r="I5" s="39" t="str">
        <f>IF($C$5=0,"яки мають",IF(N(SUM($M7:$M19))=0,"5 (п'ять)",I7*N($M7)+I8*N($M8)+I9*N($M9)+I10*N($M10)+I11*N($M11)+I12*N($M12)+I13*N($M13)+I14*N($M14)+I15*N($M15)+I16*N($M16)+I17*N($M17)+I18*N($M18)+I19*N($M19)))</f>
        <v>яки мають</v>
      </c>
      <c r="J5" s="40" t="str">
        <f>IF($C$5=0,"бути",IF(N(SUM($M7:$M19))=0,"",J7*N($M7)+J8*N($M8)+J9*N($M9)+J10*N($M10)+J11*N($M11)+J12*N($M12)+J13*N($M13)+J14*N($M14)+J15*N($M15)+J16*N($M16)+J17*N($M17)+J18*N($M18)+J19*N($M19)))</f>
        <v>бути</v>
      </c>
      <c r="K5" s="41" t="str">
        <f>IF($C$5=0,"захищені",IF(N(SUM($M7:$M19))=0,"",K7*N($M7)+K8*N($M8)+K9*N($M9)+K10*N($M10)+K11*N($M11)+K12*N($M12)+K13*N($M13)+K14*N($M14)+K15*N($M15)+K16*N($M16)+K17*N($M17)+K18*N($M18)+K19*N($M19)))</f>
        <v>захищені</v>
      </c>
      <c r="L5" s="42">
        <f>IF($C$5=0,"",IF(N(SUM($M7:$M19))=0,"",L7*N($M7)+L8*N($M8)+L9*N($M9)+L10*N($M10)+L11*N($M11)+L12*N($M12)+L13*N($M13)+L14*N($M14)+L15*N($M15)+L16*N($M16)+L17*N($M17)+L18*N($M18)+L19*N($M19)))</f>
      </c>
      <c r="M5" s="135"/>
    </row>
    <row r="6" spans="1:13" s="95" customFormat="1" ht="14.25" customHeight="1" thickTop="1">
      <c r="A6" s="115" t="s">
        <v>36</v>
      </c>
      <c r="B6" s="116" t="s">
        <v>55</v>
      </c>
      <c r="C6" s="116"/>
      <c r="D6" s="113"/>
      <c r="E6" s="44"/>
      <c r="F6" s="45"/>
      <c r="G6" s="43"/>
      <c r="H6" s="44"/>
      <c r="I6" s="45"/>
      <c r="J6" s="46"/>
      <c r="K6" s="47"/>
      <c r="L6" s="48"/>
      <c r="M6" s="135"/>
    </row>
    <row r="7" spans="1:13" s="95" customFormat="1" ht="11.25">
      <c r="A7" s="117" t="s">
        <v>4</v>
      </c>
      <c r="B7" s="118">
        <v>5</v>
      </c>
      <c r="C7" s="118">
        <v>10</v>
      </c>
      <c r="D7" s="119">
        <v>204</v>
      </c>
      <c r="E7" s="119">
        <v>306</v>
      </c>
      <c r="F7" s="119">
        <v>428.4</v>
      </c>
      <c r="G7" s="119">
        <v>122.4</v>
      </c>
      <c r="H7" s="119">
        <v>224.4</v>
      </c>
      <c r="I7" s="119">
        <v>346.8</v>
      </c>
      <c r="J7" s="119">
        <v>102</v>
      </c>
      <c r="K7" s="119">
        <v>204</v>
      </c>
      <c r="L7" s="119">
        <v>306</v>
      </c>
      <c r="M7" s="114">
        <f>IF(AND($C$5&gt;=B7,$C$5&lt;=C7),$C$5,"")</f>
      </c>
    </row>
    <row r="8" spans="1:13" s="95" customFormat="1" ht="11.25">
      <c r="A8" s="117" t="s">
        <v>5</v>
      </c>
      <c r="B8" s="118">
        <v>11</v>
      </c>
      <c r="C8" s="118">
        <v>24</v>
      </c>
      <c r="D8" s="120">
        <v>172.38</v>
      </c>
      <c r="E8" s="120">
        <v>259.08</v>
      </c>
      <c r="F8" s="120">
        <v>362.1</v>
      </c>
      <c r="G8" s="120">
        <v>103.02</v>
      </c>
      <c r="H8" s="120">
        <v>189.72</v>
      </c>
      <c r="I8" s="120">
        <v>292.74</v>
      </c>
      <c r="J8" s="120">
        <v>86.7</v>
      </c>
      <c r="K8" s="120">
        <v>172.38</v>
      </c>
      <c r="L8" s="120">
        <v>259.08</v>
      </c>
      <c r="M8" s="114">
        <f aca="true" t="shared" si="0" ref="M8:M18">IF(AND($C$5&gt;=B8,$C$5&lt;=C8),$C$5,"")</f>
      </c>
    </row>
    <row r="9" spans="1:13" s="95" customFormat="1" ht="11.25">
      <c r="A9" s="117" t="s">
        <v>6</v>
      </c>
      <c r="B9" s="118">
        <v>25</v>
      </c>
      <c r="C9" s="118">
        <v>49</v>
      </c>
      <c r="D9" s="120">
        <v>147.9</v>
      </c>
      <c r="E9" s="120">
        <v>222.36</v>
      </c>
      <c r="F9" s="120">
        <v>311.1</v>
      </c>
      <c r="G9" s="120">
        <v>88.74</v>
      </c>
      <c r="H9" s="120">
        <v>163.2</v>
      </c>
      <c r="I9" s="120">
        <v>251.94</v>
      </c>
      <c r="J9" s="120">
        <v>74.46</v>
      </c>
      <c r="K9" s="120">
        <v>147.9</v>
      </c>
      <c r="L9" s="120">
        <v>222.36</v>
      </c>
      <c r="M9" s="114">
        <f t="shared" si="0"/>
      </c>
    </row>
    <row r="10" spans="1:13" s="95" customFormat="1" ht="11.25">
      <c r="A10" s="117" t="s">
        <v>7</v>
      </c>
      <c r="B10" s="118">
        <v>50</v>
      </c>
      <c r="C10" s="118">
        <v>99</v>
      </c>
      <c r="D10" s="120">
        <v>128.52</v>
      </c>
      <c r="E10" s="120">
        <v>192.78</v>
      </c>
      <c r="F10" s="120">
        <v>270.3</v>
      </c>
      <c r="G10" s="120">
        <v>77.52</v>
      </c>
      <c r="H10" s="120">
        <v>141.78</v>
      </c>
      <c r="I10" s="120">
        <v>218.28</v>
      </c>
      <c r="J10" s="120">
        <v>64.26</v>
      </c>
      <c r="K10" s="120">
        <v>128.52</v>
      </c>
      <c r="L10" s="120">
        <v>192.78</v>
      </c>
      <c r="M10" s="114">
        <f t="shared" si="0"/>
      </c>
    </row>
    <row r="11" spans="1:13" s="95" customFormat="1" ht="11.25">
      <c r="A11" s="117" t="s">
        <v>8</v>
      </c>
      <c r="B11" s="118">
        <v>100</v>
      </c>
      <c r="C11" s="118">
        <v>249</v>
      </c>
      <c r="D11" s="120">
        <v>109.14</v>
      </c>
      <c r="E11" s="120">
        <v>164.22</v>
      </c>
      <c r="F11" s="120">
        <v>229.5</v>
      </c>
      <c r="G11" s="120">
        <v>65.28</v>
      </c>
      <c r="H11" s="120">
        <v>120.36</v>
      </c>
      <c r="I11" s="120">
        <v>185.64</v>
      </c>
      <c r="J11" s="120">
        <v>55.08</v>
      </c>
      <c r="K11" s="120">
        <v>109.14</v>
      </c>
      <c r="L11" s="120">
        <v>164.22</v>
      </c>
      <c r="M11" s="114">
        <f t="shared" si="0"/>
      </c>
    </row>
    <row r="12" spans="1:13" s="95" customFormat="1" ht="11.25">
      <c r="A12" s="117" t="s">
        <v>9</v>
      </c>
      <c r="B12" s="118">
        <v>250</v>
      </c>
      <c r="C12" s="118">
        <v>499</v>
      </c>
      <c r="D12" s="120">
        <v>92.82</v>
      </c>
      <c r="E12" s="120">
        <v>139.74</v>
      </c>
      <c r="F12" s="120">
        <v>194.82</v>
      </c>
      <c r="G12" s="120">
        <v>56.1</v>
      </c>
      <c r="H12" s="120">
        <v>102</v>
      </c>
      <c r="I12" s="120">
        <v>158.1</v>
      </c>
      <c r="J12" s="120">
        <v>46.92</v>
      </c>
      <c r="K12" s="120">
        <v>92.82</v>
      </c>
      <c r="L12" s="120">
        <v>139.74</v>
      </c>
      <c r="M12" s="114">
        <f t="shared" si="0"/>
      </c>
    </row>
    <row r="13" spans="1:13" s="95" customFormat="1" ht="11.25">
      <c r="A13" s="117" t="s">
        <v>10</v>
      </c>
      <c r="B13" s="118">
        <v>500</v>
      </c>
      <c r="C13" s="118">
        <v>999</v>
      </c>
      <c r="D13" s="120">
        <v>80.58</v>
      </c>
      <c r="E13" s="120">
        <v>121.38</v>
      </c>
      <c r="F13" s="120">
        <v>169.32</v>
      </c>
      <c r="G13" s="120">
        <v>47.94</v>
      </c>
      <c r="H13" s="120">
        <v>88.74</v>
      </c>
      <c r="I13" s="120">
        <v>136.68</v>
      </c>
      <c r="J13" s="120">
        <v>40.8</v>
      </c>
      <c r="K13" s="120">
        <v>80.58</v>
      </c>
      <c r="L13" s="120">
        <v>121.38</v>
      </c>
      <c r="M13" s="114">
        <f t="shared" si="0"/>
      </c>
    </row>
    <row r="14" spans="1:13" s="95" customFormat="1" ht="11.25">
      <c r="A14" s="117" t="s">
        <v>11</v>
      </c>
      <c r="B14" s="118">
        <v>1000</v>
      </c>
      <c r="C14" s="118">
        <v>1999</v>
      </c>
      <c r="D14" s="120">
        <v>70.38</v>
      </c>
      <c r="E14" s="120">
        <v>106.08</v>
      </c>
      <c r="F14" s="120">
        <v>147.9</v>
      </c>
      <c r="G14" s="120">
        <v>41.82</v>
      </c>
      <c r="H14" s="120">
        <v>77.52</v>
      </c>
      <c r="I14" s="120">
        <v>119.34</v>
      </c>
      <c r="J14" s="120">
        <v>35.7</v>
      </c>
      <c r="K14" s="120">
        <v>70.38</v>
      </c>
      <c r="L14" s="120">
        <v>106.08</v>
      </c>
      <c r="M14" s="114">
        <f t="shared" si="0"/>
      </c>
    </row>
    <row r="15" spans="1:13" s="95" customFormat="1" ht="11.25">
      <c r="A15" s="117" t="s">
        <v>12</v>
      </c>
      <c r="B15" s="118">
        <v>2000</v>
      </c>
      <c r="C15" s="118">
        <v>4999</v>
      </c>
      <c r="D15" s="120">
        <v>60.18</v>
      </c>
      <c r="E15" s="120">
        <v>90.78</v>
      </c>
      <c r="F15" s="120">
        <v>126.48</v>
      </c>
      <c r="G15" s="120">
        <v>35.7</v>
      </c>
      <c r="H15" s="120">
        <v>66.3</v>
      </c>
      <c r="I15" s="120">
        <v>102</v>
      </c>
      <c r="J15" s="120">
        <v>30.6</v>
      </c>
      <c r="K15" s="120">
        <v>60.18</v>
      </c>
      <c r="L15" s="120">
        <v>90.78</v>
      </c>
      <c r="M15" s="114">
        <f t="shared" si="0"/>
      </c>
    </row>
    <row r="16" spans="1:13" s="95" customFormat="1" ht="11.25">
      <c r="A16" s="117" t="s">
        <v>13</v>
      </c>
      <c r="B16" s="118">
        <v>5000</v>
      </c>
      <c r="C16" s="118">
        <v>9999</v>
      </c>
      <c r="D16" s="120">
        <v>51</v>
      </c>
      <c r="E16" s="120">
        <v>76.5</v>
      </c>
      <c r="F16" s="120">
        <v>107.1</v>
      </c>
      <c r="G16" s="120">
        <v>30.6</v>
      </c>
      <c r="H16" s="120">
        <v>56.1</v>
      </c>
      <c r="I16" s="120">
        <v>86.7</v>
      </c>
      <c r="J16" s="120">
        <v>25.5</v>
      </c>
      <c r="K16" s="120">
        <v>51</v>
      </c>
      <c r="L16" s="120">
        <v>76.5</v>
      </c>
      <c r="M16" s="114">
        <f t="shared" si="0"/>
      </c>
    </row>
    <row r="17" spans="1:13" s="95" customFormat="1" ht="11.25">
      <c r="A17" s="117" t="s">
        <v>14</v>
      </c>
      <c r="B17" s="118">
        <v>10000</v>
      </c>
      <c r="C17" s="118">
        <v>24999</v>
      </c>
      <c r="D17" s="120">
        <v>42.84</v>
      </c>
      <c r="E17" s="120">
        <v>64.26</v>
      </c>
      <c r="F17" s="120">
        <v>89.76</v>
      </c>
      <c r="G17" s="120">
        <v>25.5</v>
      </c>
      <c r="H17" s="120">
        <v>46.92</v>
      </c>
      <c r="I17" s="120">
        <v>72.42</v>
      </c>
      <c r="J17" s="120">
        <v>21.42</v>
      </c>
      <c r="K17" s="120">
        <v>42.84</v>
      </c>
      <c r="L17" s="120">
        <v>64.26</v>
      </c>
      <c r="M17" s="114">
        <f t="shared" si="0"/>
      </c>
    </row>
    <row r="18" spans="1:13" s="95" customFormat="1" ht="11.25">
      <c r="A18" s="117" t="s">
        <v>15</v>
      </c>
      <c r="B18" s="118">
        <v>25000</v>
      </c>
      <c r="C18" s="118">
        <v>49999</v>
      </c>
      <c r="D18" s="120">
        <v>36.72</v>
      </c>
      <c r="E18" s="120">
        <v>55.08</v>
      </c>
      <c r="F18" s="120">
        <v>77.52</v>
      </c>
      <c r="G18" s="120">
        <v>22.44</v>
      </c>
      <c r="H18" s="120">
        <v>40.8</v>
      </c>
      <c r="I18" s="120">
        <v>62.22</v>
      </c>
      <c r="J18" s="120">
        <v>18.36</v>
      </c>
      <c r="K18" s="120">
        <v>36.72</v>
      </c>
      <c r="L18" s="120">
        <v>55.08</v>
      </c>
      <c r="M18" s="114">
        <f t="shared" si="0"/>
      </c>
    </row>
    <row r="19" spans="1:13" s="95" customFormat="1" ht="11.25">
      <c r="A19" s="117" t="s">
        <v>16</v>
      </c>
      <c r="B19" s="118">
        <v>50000</v>
      </c>
      <c r="C19" s="118"/>
      <c r="D19" s="120">
        <v>32.64</v>
      </c>
      <c r="E19" s="120">
        <v>48.96</v>
      </c>
      <c r="F19" s="120">
        <v>68.34</v>
      </c>
      <c r="G19" s="120">
        <v>19.38</v>
      </c>
      <c r="H19" s="120">
        <v>35.7</v>
      </c>
      <c r="I19" s="120">
        <v>55.08</v>
      </c>
      <c r="J19" s="120">
        <v>16.32</v>
      </c>
      <c r="K19" s="120">
        <v>32.64</v>
      </c>
      <c r="L19" s="120">
        <v>48.96</v>
      </c>
      <c r="M19" s="114">
        <f>IF($C$5&gt;=B19,$C$5,"")</f>
      </c>
    </row>
  </sheetData>
  <sheetProtection password="D62B" sheet="1" objects="1" scenarios="1"/>
  <mergeCells count="21">
    <mergeCell ref="K5:K6"/>
    <mergeCell ref="L5:L6"/>
    <mergeCell ref="B6:C6"/>
    <mergeCell ref="G5:G6"/>
    <mergeCell ref="H5:H6"/>
    <mergeCell ref="I5:I6"/>
    <mergeCell ref="J5:J6"/>
    <mergeCell ref="A5:B5"/>
    <mergeCell ref="D5:D6"/>
    <mergeCell ref="E5:E6"/>
    <mergeCell ref="F5:F6"/>
    <mergeCell ref="A2:C4"/>
    <mergeCell ref="D2:I2"/>
    <mergeCell ref="J2:L2"/>
    <mergeCell ref="D3:F3"/>
    <mergeCell ref="G3:I3"/>
    <mergeCell ref="J3:L3"/>
    <mergeCell ref="K1:L1"/>
    <mergeCell ref="D1:H1"/>
    <mergeCell ref="I1:J1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outlinePr summaryBelow="0"/>
  </sheetPr>
  <dimension ref="A1:M19"/>
  <sheetViews>
    <sheetView workbookViewId="0" topLeftCell="A1">
      <selection activeCell="C5" sqref="C5"/>
    </sheetView>
  </sheetViews>
  <sheetFormatPr defaultColWidth="9.00390625" defaultRowHeight="12.75"/>
  <cols>
    <col min="1" max="3" width="9.75390625" style="51" customWidth="1"/>
    <col min="4" max="12" width="13.75390625" style="51" customWidth="1"/>
    <col min="13" max="13" width="1.25" style="140" bestFit="1" customWidth="1"/>
    <col min="14" max="16384" width="9.125" style="51" customWidth="1"/>
  </cols>
  <sheetData>
    <row r="1" spans="1:13" s="111" customFormat="1" ht="63.75" thickBot="1">
      <c r="A1" s="34"/>
      <c r="B1" s="34"/>
      <c r="C1" s="34"/>
      <c r="D1" s="91" t="s">
        <v>56</v>
      </c>
      <c r="E1" s="91"/>
      <c r="F1" s="91"/>
      <c r="G1" s="91"/>
      <c r="H1" s="91"/>
      <c r="I1" s="88">
        <f>CONCATENATE(IF(C5=10,"див. для
11 ПК",""),IF(AND(C5&gt;=22,C5&lt;=24),"див. для
25 ПК",""),IF(AND(C5&gt;=92,C5&lt;=99),"див. для
100 ПК",""),IF(AND(C5&gt;=224,C5&lt;=249),"див. для
250 ПК",""),IF(AND(C5&gt;=412,C5&lt;=499),"див. для
500 ПК",""),IF(AND(C5&gt;=834,C5&lt;=999),"див. для
1000 ПК",""),IF(AND(C5&gt;=1834,C5&lt;=1999),"див. для
2000 ПК",""),IF(AND(C5&gt;=4546,C5&lt;=4999),"див. для
5000 ПК",""),IF(AND(C5&gt;=9000,C5&lt;=9999),"див. для
10000 ПК",""),IF(AND(C5&gt;=22058,C5&lt;=24999),"див. для
25000 ПК",""),IF(AND(C5&gt;=43743,C5&lt;=49999),"див. для
50000 ПК",""))</f>
      </c>
      <c r="J1" s="88"/>
      <c r="K1" s="33" t="s">
        <v>40</v>
      </c>
      <c r="L1" s="33"/>
      <c r="M1" s="132" t="s">
        <v>22</v>
      </c>
    </row>
    <row r="2" spans="1:13" s="95" customFormat="1" ht="21">
      <c r="A2" s="90" t="s">
        <v>57</v>
      </c>
      <c r="B2" s="28"/>
      <c r="C2" s="29"/>
      <c r="D2" s="96" t="s">
        <v>34</v>
      </c>
      <c r="E2" s="97"/>
      <c r="F2" s="97"/>
      <c r="G2" s="97"/>
      <c r="H2" s="97"/>
      <c r="I2" s="98"/>
      <c r="J2" s="99" t="s">
        <v>32</v>
      </c>
      <c r="K2" s="100"/>
      <c r="L2" s="101"/>
      <c r="M2" s="132"/>
    </row>
    <row r="3" spans="1:13" s="95" customFormat="1" ht="30">
      <c r="A3" s="11"/>
      <c r="B3" s="9"/>
      <c r="C3" s="10"/>
      <c r="D3" s="102" t="s">
        <v>30</v>
      </c>
      <c r="E3" s="103"/>
      <c r="F3" s="104"/>
      <c r="G3" s="14" t="s">
        <v>31</v>
      </c>
      <c r="H3" s="15"/>
      <c r="I3" s="16"/>
      <c r="J3" s="17" t="s">
        <v>54</v>
      </c>
      <c r="K3" s="18"/>
      <c r="L3" s="19"/>
      <c r="M3" s="133" t="s">
        <v>17</v>
      </c>
    </row>
    <row r="4" spans="1:13" s="95" customFormat="1" ht="19.5" thickBot="1">
      <c r="A4" s="12"/>
      <c r="B4" s="13"/>
      <c r="C4" s="10"/>
      <c r="D4" s="5" t="s">
        <v>18</v>
      </c>
      <c r="E4" s="6" t="s">
        <v>19</v>
      </c>
      <c r="F4" s="7" t="s">
        <v>20</v>
      </c>
      <c r="G4" s="5" t="s">
        <v>18</v>
      </c>
      <c r="H4" s="6" t="s">
        <v>19</v>
      </c>
      <c r="I4" s="7" t="s">
        <v>20</v>
      </c>
      <c r="J4" s="1" t="s">
        <v>18</v>
      </c>
      <c r="K4" s="2" t="s">
        <v>19</v>
      </c>
      <c r="L4" s="3" t="s">
        <v>20</v>
      </c>
      <c r="M4" s="134"/>
    </row>
    <row r="5" spans="1:13" s="95" customFormat="1" ht="27.75" customHeight="1" thickBot="1" thickTop="1">
      <c r="A5" s="105" t="s">
        <v>33</v>
      </c>
      <c r="B5" s="106"/>
      <c r="C5" s="138"/>
      <c r="D5" s="112" t="str">
        <f>IF($C$5=0,"&lt;- зазначте",IF(N(SUM($M7:$M19))=0,"мінімальн",D7*N($M7)+D8*N($M8)+D9*N($M9)+D10*N($M10)+D11*N($M11)+D12*N($M12)+D13*N($M13)+D14*N($M14)+D15*N($M15)+D16*N($M16)+D17*N($M17)+D18*N($M18)+D19*N($M19)))</f>
        <v>&lt;- зазначте</v>
      </c>
      <c r="E5" s="38" t="str">
        <f>IF($C$5=0,"СУМАРНУ",IF(N(SUM($M7:$M19))=0,"а   кількість",E7*N($M7)+E8*N($M8)+E9*N($M9)+E10*N($M10)+E11*N($M11)+E12*N($M12)+E13*N($M13)+E14*N($M14)+E15*N($M15)+E16*N($M16)+E17*N($M17)+E18*N($M18)+E19*N($M19)))</f>
        <v>СУМАРНУ</v>
      </c>
      <c r="F5" s="39" t="str">
        <f>IF($C$5=0,"кількість",IF(N(SUM($M7:$M19))=0,"підключен",F7*N($M7)+F8*N($M8)+F9*N($M9)+F10*N($M10)+F11*N($M11)+F12*N($M12)+F13*N($M13)+F14*N($M14)+F15*N($M15)+F16*N($M16)+F17*N($M17)+F18*N($M18)+F19*N($M19)))</f>
        <v>кількість</v>
      </c>
      <c r="G5" s="37" t="str">
        <f>IF($C$5=0,"комп'ютер",IF(N(SUM($M7:$M19))=0,"ь  до шлюз",G7*N($M7)+G8*N($M8)+G9*N($M9)+G10*N($M10)+G11*N($M11)+G12*N($M12)+G13*N($M13)+G14*N($M14)+G15*N($M15)+G16*N($M16)+G17*N($M17)+G18*N($M18)+G19*N($M19)))</f>
        <v>комп'ютер</v>
      </c>
      <c r="H5" s="38" t="str">
        <f>IF($C$5=0,"ів,  що підк",IF(N(SUM($M7:$M19))=0,"у  має  бути",H7*N($M7)+H8*N($M8)+H9*N($M9)+H10*N($M10)+H11*N($M11)+H12*N($M12)+H13*N($M13)+H14*N($M14)+H15*N($M15)+H16*N($M16)+H17*N($M17)+H18*N($M18)+H19*N($M19)))</f>
        <v>ів,  що підк</v>
      </c>
      <c r="I5" s="39" t="str">
        <f>IF($C$5=0,"лючені   до",IF(N(SUM($M7:$M19))=0,"5 (п'ять)",I7*N($M7)+I8*N($M8)+I9*N($M9)+I10*N($M10)+I11*N($M11)+I12*N($M12)+I13*N($M13)+I14*N($M14)+I15*N($M15)+I16*N($M16)+I17*N($M17)+I18*N($M18)+I19*N($M19)))</f>
        <v>лючені   до</v>
      </c>
      <c r="J5" s="40" t="str">
        <f>IF($C$5=0,"шлюзу",IF(N(SUM($M7:$M19))=0,"",J7*N($M7)+J8*N($M8)+J9*N($M9)+J10*N($M10)+J11*N($M11)+J12*N($M12)+J13*N($M13)+J14*N($M14)+J15*N($M15)+J16*N($M16)+J17*N($M17)+J18*N($M18)+J19*N($M19)))</f>
        <v>шлюзу</v>
      </c>
      <c r="K5" s="41">
        <f>IF($C$5=0,"",IF(N(SUM($M7:$M19))=0,"",K7*N($M7)+K8*N($M8)+K9*N($M9)+K10*N($M10)+K11*N($M11)+K12*N($M12)+K13*N($M13)+K14*N($M14)+K15*N($M15)+K16*N($M16)+K17*N($M17)+K18*N($M18)+K19*N($M19)))</f>
      </c>
      <c r="L5" s="42">
        <f>IF($C$5=0,"",IF(N(SUM($M7:$M19))=0,"",L7*N($M7)+L8*N($M8)+L9*N($M9)+L10*N($M10)+L11*N($M11)+L12*N($M12)+L13*N($M13)+L14*N($M14)+L15*N($M15)+L16*N($M16)+L17*N($M17)+L18*N($M18)+L19*N($M19)))</f>
      </c>
      <c r="M5" s="135"/>
    </row>
    <row r="6" spans="1:13" s="95" customFormat="1" ht="14.25" customHeight="1" thickTop="1">
      <c r="A6" s="115" t="s">
        <v>36</v>
      </c>
      <c r="B6" s="116" t="s">
        <v>58</v>
      </c>
      <c r="C6" s="116"/>
      <c r="D6" s="113"/>
      <c r="E6" s="44"/>
      <c r="F6" s="45"/>
      <c r="G6" s="43"/>
      <c r="H6" s="44"/>
      <c r="I6" s="45"/>
      <c r="J6" s="46"/>
      <c r="K6" s="47"/>
      <c r="L6" s="48"/>
      <c r="M6" s="135"/>
    </row>
    <row r="7" spans="1:13" s="95" customFormat="1" ht="11.25">
      <c r="A7" s="117" t="s">
        <v>4</v>
      </c>
      <c r="B7" s="118">
        <v>5</v>
      </c>
      <c r="C7" s="118">
        <v>10</v>
      </c>
      <c r="D7" s="119">
        <v>163.2</v>
      </c>
      <c r="E7" s="119">
        <v>244.8</v>
      </c>
      <c r="F7" s="119">
        <v>342.72</v>
      </c>
      <c r="G7" s="119">
        <v>97.92</v>
      </c>
      <c r="H7" s="119">
        <v>179.52</v>
      </c>
      <c r="I7" s="119">
        <v>277.44</v>
      </c>
      <c r="J7" s="119">
        <v>81.6</v>
      </c>
      <c r="K7" s="119">
        <v>163.2</v>
      </c>
      <c r="L7" s="119">
        <v>244.8</v>
      </c>
      <c r="M7" s="114">
        <f>IF(AND($C$5&gt;=B7,$C$5&lt;=C7),$C$5,"")</f>
      </c>
    </row>
    <row r="8" spans="1:13" s="95" customFormat="1" ht="11.25">
      <c r="A8" s="117" t="s">
        <v>5</v>
      </c>
      <c r="B8" s="118">
        <v>11</v>
      </c>
      <c r="C8" s="118">
        <v>24</v>
      </c>
      <c r="D8" s="120">
        <v>137.7</v>
      </c>
      <c r="E8" s="120">
        <v>207.06</v>
      </c>
      <c r="F8" s="120">
        <v>289.68</v>
      </c>
      <c r="G8" s="120">
        <v>82.62</v>
      </c>
      <c r="H8" s="120">
        <v>151.98</v>
      </c>
      <c r="I8" s="120">
        <v>234.6</v>
      </c>
      <c r="J8" s="120">
        <v>69.36</v>
      </c>
      <c r="K8" s="120">
        <v>137.7</v>
      </c>
      <c r="L8" s="120">
        <v>207.06</v>
      </c>
      <c r="M8" s="114">
        <f aca="true" t="shared" si="0" ref="M8:M18">IF(AND($C$5&gt;=B8,$C$5&lt;=C8),$C$5,"")</f>
      </c>
    </row>
    <row r="9" spans="1:13" s="95" customFormat="1" ht="11.25">
      <c r="A9" s="117" t="s">
        <v>6</v>
      </c>
      <c r="B9" s="118">
        <v>25</v>
      </c>
      <c r="C9" s="118">
        <v>49</v>
      </c>
      <c r="D9" s="120">
        <v>118.32</v>
      </c>
      <c r="E9" s="120">
        <v>177.48</v>
      </c>
      <c r="F9" s="120">
        <v>248.88</v>
      </c>
      <c r="G9" s="120">
        <v>71.4</v>
      </c>
      <c r="H9" s="120">
        <v>130.56</v>
      </c>
      <c r="I9" s="120">
        <v>200.94</v>
      </c>
      <c r="J9" s="120">
        <v>59.16</v>
      </c>
      <c r="K9" s="120">
        <v>118.32</v>
      </c>
      <c r="L9" s="120">
        <v>177.48</v>
      </c>
      <c r="M9" s="114">
        <f t="shared" si="0"/>
      </c>
    </row>
    <row r="10" spans="1:13" s="95" customFormat="1" ht="11.25">
      <c r="A10" s="117" t="s">
        <v>7</v>
      </c>
      <c r="B10" s="118">
        <v>50</v>
      </c>
      <c r="C10" s="118">
        <v>99</v>
      </c>
      <c r="D10" s="120">
        <v>103.02</v>
      </c>
      <c r="E10" s="120">
        <v>155.04</v>
      </c>
      <c r="F10" s="120">
        <v>216.24</v>
      </c>
      <c r="G10" s="120">
        <v>62.22</v>
      </c>
      <c r="H10" s="120">
        <v>113.22</v>
      </c>
      <c r="I10" s="120">
        <v>175.44</v>
      </c>
      <c r="J10" s="120">
        <v>52.02</v>
      </c>
      <c r="K10" s="120">
        <v>103.02</v>
      </c>
      <c r="L10" s="120">
        <v>155.04</v>
      </c>
      <c r="M10" s="114">
        <f t="shared" si="0"/>
      </c>
    </row>
    <row r="11" spans="1:13" s="95" customFormat="1" ht="11.25">
      <c r="A11" s="117" t="s">
        <v>8</v>
      </c>
      <c r="B11" s="118">
        <v>100</v>
      </c>
      <c r="C11" s="118">
        <v>249</v>
      </c>
      <c r="D11" s="120">
        <v>87.72</v>
      </c>
      <c r="E11" s="120">
        <v>131.58</v>
      </c>
      <c r="F11" s="120">
        <v>184.62</v>
      </c>
      <c r="G11" s="120">
        <v>53.04</v>
      </c>
      <c r="H11" s="120">
        <v>96.9</v>
      </c>
      <c r="I11" s="120">
        <v>148.92</v>
      </c>
      <c r="J11" s="120">
        <v>43.86</v>
      </c>
      <c r="K11" s="120">
        <v>87.72</v>
      </c>
      <c r="L11" s="120">
        <v>131.58</v>
      </c>
      <c r="M11" s="114">
        <f t="shared" si="0"/>
      </c>
    </row>
    <row r="12" spans="1:13" s="95" customFormat="1" ht="11.25">
      <c r="A12" s="117" t="s">
        <v>9</v>
      </c>
      <c r="B12" s="118">
        <v>250</v>
      </c>
      <c r="C12" s="118">
        <v>499</v>
      </c>
      <c r="D12" s="120">
        <v>74.46</v>
      </c>
      <c r="E12" s="120">
        <v>112.2</v>
      </c>
      <c r="F12" s="120">
        <v>156.06</v>
      </c>
      <c r="G12" s="120">
        <v>44.88</v>
      </c>
      <c r="H12" s="120">
        <v>81.6</v>
      </c>
      <c r="I12" s="120">
        <v>126.48</v>
      </c>
      <c r="J12" s="120">
        <v>37.74</v>
      </c>
      <c r="K12" s="120">
        <v>74.46</v>
      </c>
      <c r="L12" s="120">
        <v>112.2</v>
      </c>
      <c r="M12" s="114">
        <f t="shared" si="0"/>
      </c>
    </row>
    <row r="13" spans="1:13" s="95" customFormat="1" ht="11.25">
      <c r="A13" s="117" t="s">
        <v>10</v>
      </c>
      <c r="B13" s="118">
        <v>500</v>
      </c>
      <c r="C13" s="118">
        <v>999</v>
      </c>
      <c r="D13" s="120">
        <v>64.26</v>
      </c>
      <c r="E13" s="120">
        <v>96.9</v>
      </c>
      <c r="F13" s="120">
        <v>134.64</v>
      </c>
      <c r="G13" s="120">
        <v>38.76</v>
      </c>
      <c r="H13" s="120">
        <v>70.38</v>
      </c>
      <c r="I13" s="120">
        <v>109.14</v>
      </c>
      <c r="J13" s="120">
        <v>32.64</v>
      </c>
      <c r="K13" s="120">
        <v>64.26</v>
      </c>
      <c r="L13" s="120">
        <v>96.9</v>
      </c>
      <c r="M13" s="114">
        <f t="shared" si="0"/>
      </c>
    </row>
    <row r="14" spans="1:13" s="95" customFormat="1" ht="11.25">
      <c r="A14" s="117" t="s">
        <v>11</v>
      </c>
      <c r="B14" s="118">
        <v>1000</v>
      </c>
      <c r="C14" s="118">
        <v>1999</v>
      </c>
      <c r="D14" s="120">
        <v>56.1</v>
      </c>
      <c r="E14" s="120">
        <v>84.66</v>
      </c>
      <c r="F14" s="120">
        <v>118.32</v>
      </c>
      <c r="G14" s="120">
        <v>33.66</v>
      </c>
      <c r="H14" s="120">
        <v>62.22</v>
      </c>
      <c r="I14" s="120">
        <v>95.88</v>
      </c>
      <c r="J14" s="120">
        <v>28.56</v>
      </c>
      <c r="K14" s="120">
        <v>56.1</v>
      </c>
      <c r="L14" s="120">
        <v>84.66</v>
      </c>
      <c r="M14" s="114">
        <f t="shared" si="0"/>
      </c>
    </row>
    <row r="15" spans="1:13" s="95" customFormat="1" ht="11.25">
      <c r="A15" s="117" t="s">
        <v>12</v>
      </c>
      <c r="B15" s="118">
        <v>2000</v>
      </c>
      <c r="C15" s="118">
        <v>4999</v>
      </c>
      <c r="D15" s="120">
        <v>47.94</v>
      </c>
      <c r="E15" s="120">
        <v>72.42</v>
      </c>
      <c r="F15" s="120">
        <v>100.98</v>
      </c>
      <c r="G15" s="120">
        <v>28.56</v>
      </c>
      <c r="H15" s="120">
        <v>53.04</v>
      </c>
      <c r="I15" s="120">
        <v>81.6</v>
      </c>
      <c r="J15" s="120">
        <v>24.48</v>
      </c>
      <c r="K15" s="120">
        <v>47.94</v>
      </c>
      <c r="L15" s="120">
        <v>72.42</v>
      </c>
      <c r="M15" s="114">
        <f t="shared" si="0"/>
      </c>
    </row>
    <row r="16" spans="1:13" s="95" customFormat="1" ht="11.25">
      <c r="A16" s="117" t="s">
        <v>13</v>
      </c>
      <c r="B16" s="118">
        <v>5000</v>
      </c>
      <c r="C16" s="118">
        <v>9999</v>
      </c>
      <c r="D16" s="120">
        <v>40.8</v>
      </c>
      <c r="E16" s="120">
        <v>61.2</v>
      </c>
      <c r="F16" s="120">
        <v>85.68</v>
      </c>
      <c r="G16" s="120">
        <v>24.48</v>
      </c>
      <c r="H16" s="120">
        <v>44.88</v>
      </c>
      <c r="I16" s="120">
        <v>69.36</v>
      </c>
      <c r="J16" s="120">
        <v>20.4</v>
      </c>
      <c r="K16" s="120">
        <v>40.8</v>
      </c>
      <c r="L16" s="120">
        <v>61.2</v>
      </c>
      <c r="M16" s="114">
        <f t="shared" si="0"/>
      </c>
    </row>
    <row r="17" spans="1:13" s="95" customFormat="1" ht="11.25">
      <c r="A17" s="117" t="s">
        <v>14</v>
      </c>
      <c r="B17" s="118">
        <v>10000</v>
      </c>
      <c r="C17" s="118">
        <v>24999</v>
      </c>
      <c r="D17" s="120">
        <v>34.68</v>
      </c>
      <c r="E17" s="120">
        <v>52.02</v>
      </c>
      <c r="F17" s="120">
        <v>72.42</v>
      </c>
      <c r="G17" s="120">
        <v>20.4</v>
      </c>
      <c r="H17" s="120">
        <v>37.74</v>
      </c>
      <c r="I17" s="120">
        <v>59.16</v>
      </c>
      <c r="J17" s="120">
        <v>17.34</v>
      </c>
      <c r="K17" s="120">
        <v>34.68</v>
      </c>
      <c r="L17" s="120">
        <v>52.02</v>
      </c>
      <c r="M17" s="114">
        <f t="shared" si="0"/>
      </c>
    </row>
    <row r="18" spans="1:13" s="95" customFormat="1" ht="11.25">
      <c r="A18" s="117" t="s">
        <v>15</v>
      </c>
      <c r="B18" s="118">
        <v>25000</v>
      </c>
      <c r="C18" s="118">
        <v>49999</v>
      </c>
      <c r="D18" s="120">
        <v>29.58</v>
      </c>
      <c r="E18" s="120">
        <v>44.88</v>
      </c>
      <c r="F18" s="120">
        <v>62.22</v>
      </c>
      <c r="G18" s="120">
        <v>17.34</v>
      </c>
      <c r="H18" s="120">
        <v>32.64</v>
      </c>
      <c r="I18" s="120">
        <v>49.98</v>
      </c>
      <c r="J18" s="120">
        <v>15.3</v>
      </c>
      <c r="K18" s="120">
        <v>29.58</v>
      </c>
      <c r="L18" s="120">
        <v>44.88</v>
      </c>
      <c r="M18" s="114">
        <f t="shared" si="0"/>
      </c>
    </row>
    <row r="19" spans="1:13" s="95" customFormat="1" ht="11.25">
      <c r="A19" s="117" t="s">
        <v>16</v>
      </c>
      <c r="B19" s="118">
        <v>50000</v>
      </c>
      <c r="C19" s="118"/>
      <c r="D19" s="120">
        <v>26.52</v>
      </c>
      <c r="E19" s="120">
        <v>39.78</v>
      </c>
      <c r="F19" s="120">
        <v>56.1</v>
      </c>
      <c r="G19" s="120">
        <v>16.32</v>
      </c>
      <c r="H19" s="120">
        <v>29.58</v>
      </c>
      <c r="I19" s="120">
        <v>44.88</v>
      </c>
      <c r="J19" s="120">
        <v>13.26</v>
      </c>
      <c r="K19" s="120">
        <v>26.52</v>
      </c>
      <c r="L19" s="120">
        <v>39.78</v>
      </c>
      <c r="M19" s="114">
        <f>IF($C$5&gt;=B19,$C$5,"")</f>
      </c>
    </row>
  </sheetData>
  <sheetProtection password="D62B" sheet="1" objects="1" scenarios="1"/>
  <mergeCells count="21">
    <mergeCell ref="K5:K6"/>
    <mergeCell ref="L5:L6"/>
    <mergeCell ref="B6:C6"/>
    <mergeCell ref="G5:G6"/>
    <mergeCell ref="H5:H6"/>
    <mergeCell ref="I5:I6"/>
    <mergeCell ref="J5:J6"/>
    <mergeCell ref="A5:B5"/>
    <mergeCell ref="D5:D6"/>
    <mergeCell ref="E5:E6"/>
    <mergeCell ref="F5:F6"/>
    <mergeCell ref="D1:H1"/>
    <mergeCell ref="I1:J1"/>
    <mergeCell ref="K1:L1"/>
    <mergeCell ref="A2:C4"/>
    <mergeCell ref="D2:I2"/>
    <mergeCell ref="J2:L2"/>
    <mergeCell ref="D3:F3"/>
    <mergeCell ref="G3:I3"/>
    <mergeCell ref="J3:L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outlinePr summaryBelow="0"/>
  </sheetPr>
  <dimension ref="A1:M6"/>
  <sheetViews>
    <sheetView workbookViewId="0" topLeftCell="A1">
      <selection activeCell="C5" sqref="C5"/>
    </sheetView>
  </sheetViews>
  <sheetFormatPr defaultColWidth="9.00390625" defaultRowHeight="12.75"/>
  <cols>
    <col min="1" max="3" width="9.75390625" style="51" customWidth="1"/>
    <col min="4" max="12" width="13.75390625" style="51" customWidth="1"/>
    <col min="13" max="13" width="1.25" style="140" bestFit="1" customWidth="1"/>
    <col min="14" max="16384" width="9.125" style="51" customWidth="1"/>
  </cols>
  <sheetData>
    <row r="1" spans="1:13" s="111" customFormat="1" ht="84.75" customHeight="1" thickBot="1">
      <c r="A1" s="34"/>
      <c r="B1" s="34"/>
      <c r="C1" s="34"/>
      <c r="D1" s="89" t="s">
        <v>68</v>
      </c>
      <c r="E1" s="89"/>
      <c r="F1" s="89"/>
      <c r="G1" s="89"/>
      <c r="H1" s="89"/>
      <c r="I1" s="89"/>
      <c r="J1" s="92"/>
      <c r="K1" s="33" t="s">
        <v>40</v>
      </c>
      <c r="L1" s="33"/>
      <c r="M1" s="132" t="s">
        <v>22</v>
      </c>
    </row>
    <row r="2" spans="1:13" s="95" customFormat="1" ht="21">
      <c r="A2" s="90" t="s">
        <v>59</v>
      </c>
      <c r="B2" s="28"/>
      <c r="C2" s="29"/>
      <c r="D2" s="96" t="s">
        <v>34</v>
      </c>
      <c r="E2" s="97"/>
      <c r="F2" s="97"/>
      <c r="G2" s="97"/>
      <c r="H2" s="97"/>
      <c r="I2" s="98"/>
      <c r="J2" s="99" t="s">
        <v>32</v>
      </c>
      <c r="K2" s="100"/>
      <c r="L2" s="101"/>
      <c r="M2" s="132"/>
    </row>
    <row r="3" spans="1:13" s="95" customFormat="1" ht="30">
      <c r="A3" s="11"/>
      <c r="B3" s="9"/>
      <c r="C3" s="10"/>
      <c r="D3" s="102" t="s">
        <v>30</v>
      </c>
      <c r="E3" s="103"/>
      <c r="F3" s="104"/>
      <c r="G3" s="14" t="s">
        <v>31</v>
      </c>
      <c r="H3" s="15"/>
      <c r="I3" s="16"/>
      <c r="J3" s="17" t="s">
        <v>54</v>
      </c>
      <c r="K3" s="18"/>
      <c r="L3" s="19"/>
      <c r="M3" s="133" t="s">
        <v>17</v>
      </c>
    </row>
    <row r="4" spans="1:13" s="95" customFormat="1" ht="19.5" thickBot="1">
      <c r="A4" s="12"/>
      <c r="B4" s="13"/>
      <c r="C4" s="10"/>
      <c r="D4" s="5" t="s">
        <v>18</v>
      </c>
      <c r="E4" s="6" t="s">
        <v>19</v>
      </c>
      <c r="F4" s="7" t="s">
        <v>20</v>
      </c>
      <c r="G4" s="5" t="s">
        <v>18</v>
      </c>
      <c r="H4" s="6" t="s">
        <v>19</v>
      </c>
      <c r="I4" s="7" t="s">
        <v>20</v>
      </c>
      <c r="J4" s="1" t="s">
        <v>18</v>
      </c>
      <c r="K4" s="2" t="s">
        <v>19</v>
      </c>
      <c r="L4" s="3" t="s">
        <v>20</v>
      </c>
      <c r="M4" s="134"/>
    </row>
    <row r="5" spans="1:13" s="95" customFormat="1" ht="27.75" customHeight="1" thickBot="1" thickTop="1">
      <c r="A5" s="105" t="s">
        <v>70</v>
      </c>
      <c r="B5" s="106"/>
      <c r="C5" s="138"/>
      <c r="D5" s="123" t="str">
        <f>IF($C$5=0,"&lt;- зазначте",D6*N($M6))</f>
        <v>&lt;- зазначте</v>
      </c>
      <c r="E5" s="124" t="str">
        <f>IF($C$5=0,"СУМАРНУ",E6*N($M6))</f>
        <v>СУМАРНУ</v>
      </c>
      <c r="F5" s="125" t="str">
        <f>IF($C$5=0,"кількість",F6*N($M6))</f>
        <v>кількість</v>
      </c>
      <c r="G5" s="126" t="str">
        <f>IF($C$5=0,"серверів,",G6*N($M6))</f>
        <v>серверів,</v>
      </c>
      <c r="H5" s="124" t="str">
        <f>IF($C$5=0,"які мають",H6*N($M6))</f>
        <v>які мають</v>
      </c>
      <c r="I5" s="125" t="str">
        <f>IF($C$5=0,"бути",I6*N($M6))</f>
        <v>бути</v>
      </c>
      <c r="J5" s="127" t="str">
        <f>IF($C$5=0,"захищені",J6*N($M6))</f>
        <v>захищені</v>
      </c>
      <c r="K5" s="128">
        <f>IF($C$5=0,"",K6*N($M6))</f>
      </c>
      <c r="L5" s="129">
        <f>IF($C$5=0,"",L6*N($M6))</f>
      </c>
      <c r="M5" s="135"/>
    </row>
    <row r="6" spans="1:13" s="95" customFormat="1" ht="12" thickTop="1">
      <c r="A6" s="130"/>
      <c r="B6" s="131"/>
      <c r="C6" s="139"/>
      <c r="D6" s="120">
        <v>1530</v>
      </c>
      <c r="E6" s="120">
        <v>2295</v>
      </c>
      <c r="F6" s="120">
        <v>3213</v>
      </c>
      <c r="G6" s="120">
        <v>918</v>
      </c>
      <c r="H6" s="120">
        <v>1683</v>
      </c>
      <c r="I6" s="120">
        <v>2601</v>
      </c>
      <c r="J6" s="120">
        <v>765</v>
      </c>
      <c r="K6" s="120">
        <v>1530</v>
      </c>
      <c r="L6" s="120">
        <v>2295</v>
      </c>
      <c r="M6" s="114">
        <f>IF($C$5&gt;=1,$C$5,"")</f>
      </c>
    </row>
  </sheetData>
  <sheetProtection password="D62B" sheet="1" objects="1" scenarios="1"/>
  <mergeCells count="10">
    <mergeCell ref="A5:B5"/>
    <mergeCell ref="A2:C4"/>
    <mergeCell ref="D2:I2"/>
    <mergeCell ref="J2:L2"/>
    <mergeCell ref="D3:F3"/>
    <mergeCell ref="G3:I3"/>
    <mergeCell ref="J3:L3"/>
    <mergeCell ref="K1:L1"/>
    <mergeCell ref="D1:I1"/>
    <mergeCell ref="A1:C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ESET-Ukraine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V. Bezrukov</dc:creator>
  <cp:keywords/>
  <dc:description/>
  <cp:lastModifiedBy>Olexander Bezrukov</cp:lastModifiedBy>
  <cp:lastPrinted>2009-05-02T18:47:09Z</cp:lastPrinted>
  <dcterms:created xsi:type="dcterms:W3CDTF">2007-10-25T15:01:08Z</dcterms:created>
  <dcterms:modified xsi:type="dcterms:W3CDTF">2009-05-03T19:25:47Z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